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13875" windowHeight="12270"/>
  </bookViews>
  <sheets>
    <sheet name="Факт" sheetId="1" r:id="rId1"/>
  </sheets>
  <definedNames>
    <definedName name="_xlnm.Print_Area" localSheetId="0">Факт!$A$1:$I$80</definedName>
  </definedNames>
  <calcPr calcId="145621"/>
</workbook>
</file>

<file path=xl/calcChain.xml><?xml version="1.0" encoding="utf-8"?>
<calcChain xmlns="http://schemas.openxmlformats.org/spreadsheetml/2006/main">
  <c r="E65" i="1" l="1"/>
  <c r="E64" i="1"/>
  <c r="E63" i="1"/>
  <c r="E62" i="1"/>
  <c r="E26" i="1"/>
  <c r="D95" i="1" l="1"/>
  <c r="C139" i="1"/>
  <c r="F103" i="1"/>
  <c r="F102" i="1" l="1"/>
  <c r="H78" i="1"/>
  <c r="H77" i="1"/>
  <c r="H74" i="1"/>
  <c r="H73" i="1"/>
  <c r="H72" i="1"/>
  <c r="H71" i="1"/>
  <c r="H69" i="1"/>
  <c r="H67" i="1"/>
  <c r="H66" i="1"/>
  <c r="H65" i="1"/>
  <c r="H64" i="1"/>
  <c r="H63" i="1"/>
  <c r="H62" i="1"/>
  <c r="H60" i="1"/>
  <c r="H56" i="1"/>
  <c r="H55" i="1"/>
  <c r="H54" i="1"/>
  <c r="H51" i="1"/>
  <c r="H50" i="1"/>
  <c r="H49" i="1"/>
  <c r="H48" i="1"/>
  <c r="H42" i="1"/>
  <c r="H41" i="1"/>
  <c r="H38" i="1"/>
  <c r="H37" i="1"/>
  <c r="H36" i="1"/>
  <c r="H35" i="1"/>
  <c r="H34" i="1"/>
  <c r="H33" i="1"/>
  <c r="H27" i="1"/>
  <c r="H26" i="1"/>
  <c r="F73" i="1"/>
  <c r="I73" i="1" s="1"/>
  <c r="F72" i="1"/>
  <c r="I72" i="1" s="1"/>
  <c r="F71" i="1"/>
  <c r="I71" i="1" s="1"/>
  <c r="F67" i="1"/>
  <c r="I67" i="1" s="1"/>
  <c r="F66" i="1"/>
  <c r="I66" i="1" s="1"/>
  <c r="F65" i="1"/>
  <c r="I65" i="1" s="1"/>
  <c r="F62" i="1"/>
  <c r="I62" i="1" s="1"/>
  <c r="F55" i="1"/>
  <c r="I55" i="1" s="1"/>
  <c r="F54" i="1"/>
  <c r="I54" i="1" s="1"/>
  <c r="F50" i="1"/>
  <c r="I50" i="1" s="1"/>
  <c r="F42" i="1"/>
  <c r="I42" i="1" s="1"/>
  <c r="F41" i="1"/>
  <c r="I41" i="1" s="1"/>
  <c r="F26" i="1"/>
  <c r="I26" i="1" s="1"/>
  <c r="C23" i="1"/>
  <c r="D23" i="1" s="1"/>
  <c r="E23" i="1" s="1"/>
  <c r="F23" i="1" s="1"/>
  <c r="G23" i="1" s="1"/>
  <c r="H23" i="1" s="1"/>
  <c r="I23" i="1" s="1"/>
  <c r="J23" i="1" s="1"/>
  <c r="O51" i="1"/>
  <c r="K51" i="1"/>
  <c r="E51" i="1"/>
  <c r="D51" i="1"/>
  <c r="F78" i="1"/>
  <c r="I78" i="1" s="1"/>
  <c r="F77" i="1"/>
  <c r="I77" i="1" s="1"/>
  <c r="F69" i="1"/>
  <c r="I69" i="1" s="1"/>
  <c r="F64" i="1"/>
  <c r="I64" i="1" s="1"/>
  <c r="F63" i="1"/>
  <c r="I63" i="1" s="1"/>
  <c r="F49" i="1"/>
  <c r="I49" i="1" s="1"/>
  <c r="F48" i="1"/>
  <c r="I48" i="1" s="1"/>
  <c r="F46" i="1"/>
  <c r="F51" i="1" l="1"/>
  <c r="I51" i="1" s="1"/>
  <c r="F105" i="1"/>
  <c r="F104" i="1"/>
  <c r="O74" i="1" l="1"/>
  <c r="K74" i="1"/>
  <c r="E74" i="1"/>
  <c r="D74" i="1"/>
  <c r="E56" i="1"/>
  <c r="D56" i="1"/>
  <c r="I46" i="1"/>
  <c r="H47" i="1"/>
  <c r="O56" i="1"/>
  <c r="K56" i="1"/>
  <c r="H46" i="1"/>
  <c r="H45" i="1" l="1"/>
  <c r="F56" i="1"/>
  <c r="I56" i="1" s="1"/>
  <c r="F74" i="1"/>
  <c r="I74" i="1" s="1"/>
  <c r="O38" i="1"/>
  <c r="K38" i="1"/>
  <c r="E38" i="1"/>
  <c r="D38" i="1"/>
  <c r="D27" i="1"/>
  <c r="F38" i="1" l="1"/>
  <c r="I38" i="1" s="1"/>
  <c r="C95" i="1"/>
  <c r="D91" i="1"/>
  <c r="C91" i="1"/>
  <c r="C87" i="1"/>
  <c r="C96" i="1" s="1"/>
  <c r="D87" i="1"/>
  <c r="D96" i="1" l="1"/>
  <c r="E105" i="1" s="1"/>
  <c r="D105" i="1"/>
  <c r="I47" i="1"/>
  <c r="I76" i="1" l="1"/>
  <c r="F37" i="1" l="1"/>
  <c r="I37" i="1" s="1"/>
  <c r="F36" i="1"/>
  <c r="I36" i="1" s="1"/>
  <c r="F35" i="1"/>
  <c r="I35" i="1" s="1"/>
  <c r="F34" i="1"/>
  <c r="I34" i="1" s="1"/>
  <c r="F33" i="1"/>
  <c r="I33" i="1" s="1"/>
  <c r="O27" i="1"/>
  <c r="K27" i="1"/>
  <c r="E27" i="1"/>
  <c r="F27" i="1" s="1"/>
  <c r="I27" i="1" s="1"/>
  <c r="E9" i="1"/>
  <c r="E102" i="1" s="1"/>
  <c r="D9" i="1"/>
  <c r="D102" i="1" s="1"/>
  <c r="I45" i="1"/>
  <c r="F60" i="1"/>
  <c r="I60" i="1" s="1"/>
  <c r="I61" i="1"/>
  <c r="H32" i="1"/>
  <c r="H40" i="1"/>
  <c r="H53" i="1"/>
  <c r="H58" i="1" s="1"/>
  <c r="D18" i="1"/>
  <c r="D103" i="1" s="1"/>
  <c r="D130" i="1"/>
  <c r="O60" i="1"/>
  <c r="K60" i="1"/>
  <c r="K62" i="1"/>
  <c r="O62" i="1"/>
  <c r="K63" i="1"/>
  <c r="O63" i="1"/>
  <c r="K64" i="1"/>
  <c r="O64" i="1"/>
  <c r="K65" i="1"/>
  <c r="O65" i="1"/>
  <c r="K66" i="1"/>
  <c r="O66" i="1"/>
  <c r="K67" i="1"/>
  <c r="O67" i="1"/>
  <c r="K69" i="1"/>
  <c r="O69" i="1"/>
  <c r="K71" i="1"/>
  <c r="O71" i="1"/>
  <c r="K72" i="1"/>
  <c r="O72" i="1"/>
  <c r="K73" i="1"/>
  <c r="O73" i="1"/>
  <c r="K77" i="1"/>
  <c r="O77" i="1"/>
  <c r="K78" i="1"/>
  <c r="O78" i="1"/>
  <c r="K46" i="1"/>
  <c r="O46" i="1"/>
  <c r="K48" i="1"/>
  <c r="O48" i="1"/>
  <c r="K49" i="1"/>
  <c r="O49" i="1"/>
  <c r="K50" i="1"/>
  <c r="O50" i="1"/>
  <c r="K54" i="1"/>
  <c r="O54" i="1"/>
  <c r="K55" i="1"/>
  <c r="O55" i="1"/>
  <c r="O33" i="1"/>
  <c r="O34" i="1"/>
  <c r="O35" i="1"/>
  <c r="O36" i="1"/>
  <c r="O37" i="1"/>
  <c r="O41" i="1"/>
  <c r="O42" i="1"/>
  <c r="O26" i="1"/>
  <c r="K33" i="1"/>
  <c r="K34" i="1"/>
  <c r="K35" i="1"/>
  <c r="K36" i="1"/>
  <c r="K37" i="1"/>
  <c r="K41" i="1"/>
  <c r="K42" i="1"/>
  <c r="K26" i="1"/>
  <c r="H61" i="1"/>
  <c r="H25" i="1"/>
  <c r="H43" i="1" s="1"/>
  <c r="I40" i="1"/>
  <c r="H76" i="1"/>
  <c r="H70" i="1"/>
  <c r="I70" i="1"/>
  <c r="H68" i="1"/>
  <c r="E18" i="1"/>
  <c r="E103" i="1" s="1"/>
  <c r="G102" i="1" l="1"/>
  <c r="I102" i="1" s="1"/>
  <c r="H79" i="1"/>
  <c r="I68" i="1"/>
  <c r="I79" i="1" s="1"/>
  <c r="G103" i="1"/>
  <c r="I103" i="1" s="1"/>
  <c r="I25" i="1"/>
  <c r="D97" i="1"/>
  <c r="C97" i="1"/>
  <c r="I53" i="1"/>
  <c r="I58" i="1" s="1"/>
  <c r="I32" i="1"/>
  <c r="C108" i="1" l="1"/>
  <c r="C137" i="1" s="1"/>
  <c r="I43" i="1"/>
  <c r="H80" i="1"/>
  <c r="D104" i="1" s="1"/>
  <c r="G105" i="1"/>
  <c r="I105" i="1" s="1"/>
  <c r="I80" i="1" l="1"/>
  <c r="E104" i="1" s="1"/>
  <c r="G104" i="1" l="1"/>
  <c r="I104" i="1" s="1"/>
  <c r="C109" i="1" s="1"/>
  <c r="C138" i="1" s="1"/>
</calcChain>
</file>

<file path=xl/sharedStrings.xml><?xml version="1.0" encoding="utf-8"?>
<sst xmlns="http://schemas.openxmlformats.org/spreadsheetml/2006/main" count="524" uniqueCount="158">
  <si>
    <t>Значение</t>
  </si>
  <si>
    <t>Зависимость</t>
  </si>
  <si>
    <t>-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</si>
  <si>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</si>
  <si>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</si>
  <si>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</si>
  <si>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2.1. Наличие единого телефонного номера для приема обращений потребителей услуг</t>
  </si>
  <si>
    <t>2.2. Наличие информационно-справочной системы для автоматизации обработки обращений потребителей услуг, поступивших по телефону</t>
  </si>
  <si>
    <t>2.3. Наличие системы автоинформирования потребителей услуг по телефону, предназначенной для доведения до них типовой информации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</si>
  <si>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</si>
  <si>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</si>
  <si>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</si>
  <si>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</si>
  <si>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</si>
  <si>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</si>
  <si>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</si>
  <si>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</si>
  <si>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информативности</t>
  </si>
  <si>
    <t>%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</si>
  <si>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</si>
  <si>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</si>
  <si>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</si>
  <si>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</si>
  <si>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 2.2 настоящей формы, поступивших от потребителей услуг в течение 30 рабочих дней после завершения мероприятий, указанных в в п. 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</si>
  <si>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</si>
  <si>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</si>
  <si>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3. Оперативность реагирования на обращения потребителей услуг - всего,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</si>
  <si>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</si>
  <si>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</si>
  <si>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</si>
  <si>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</si>
  <si>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6. Итого по индикатору результативность обратной связи</t>
  </si>
  <si>
    <t>Индикатор информативности</t>
  </si>
  <si>
    <t>Индикатор исполнительности</t>
  </si>
  <si>
    <t>Индикатор результативности обратной связи</t>
  </si>
  <si>
    <t>фактическое</t>
  </si>
  <si>
    <t>плановое</t>
  </si>
  <si>
    <t>Отклонение факта от плана</t>
  </si>
  <si>
    <t>min</t>
  </si>
  <si>
    <t>med</t>
  </si>
  <si>
    <t>max</t>
  </si>
  <si>
    <t>выставляется при</t>
  </si>
  <si>
    <t>1. Возможность личного приема заявителей и потребителей услуг уполномоченными должностными лицами территориальной сетевой организации</t>
  </si>
  <si>
    <t>шт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</si>
  <si>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</t>
  </si>
  <si>
    <t>а) регламенты оказания услуг и рассмотрения обращений заявителей и потребителей услуг</t>
  </si>
  <si>
    <t>шт (1/0)</t>
  </si>
  <si>
    <t>в) должностные инструкции сотрудников, обслуживающих заявителей и потребителей услуг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</si>
  <si>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</t>
  </si>
  <si>
    <t>(1/0)</t>
  </si>
  <si>
    <t>80%&lt;гр.4&lt;120%</t>
  </si>
  <si>
    <t>СПРАВОЧНО</t>
  </si>
  <si>
    <t>Ед.изм.</t>
  </si>
  <si>
    <t>Показатель</t>
  </si>
  <si>
    <t>дней</t>
  </si>
  <si>
    <t>2.6. Количество реализованных изменений в деятельности организации, направленных на повышение качества обслуживания потребителей услуг</t>
  </si>
  <si>
    <t>3.1. Средняя продолжительность времени принятия мер по результатам обращения потребителя услуг</t>
  </si>
  <si>
    <t>шт/ 1000 потр</t>
  </si>
  <si>
    <t>5.1. Средняя продолжительность времени на принятие территориальной сетевой организацией мер по возмещению потребителю услуг убытков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</si>
  <si>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</t>
  </si>
  <si>
    <t>Суммарная продолжительность прекращений передачи электроэнергии</t>
  </si>
  <si>
    <t>час</t>
  </si>
  <si>
    <t>Максимальное за расчетный период число точек присоединения</t>
  </si>
  <si>
    <t>Показатель надежности услуг</t>
  </si>
  <si>
    <t>II - Расчет показателя качества ФСК</t>
  </si>
  <si>
    <t>Число заявок на ТП, поданных потребителем в соответствии с законодательством</t>
  </si>
  <si>
    <t>Число направленных договоров</t>
  </si>
  <si>
    <t>Число договоров, направленных с нарушением срока</t>
  </si>
  <si>
    <t>Оценка по факту</t>
  </si>
  <si>
    <t>Оценка при планировании</t>
  </si>
  <si>
    <t>Показатель качества услуг ФСК</t>
  </si>
  <si>
    <t>ТСО - пилоты 1-2-й очереди (переход на долгосрочное регулирование с 2010 года и ранее)</t>
  </si>
  <si>
    <t>Прочие ТСО</t>
  </si>
  <si>
    <t>ФСК</t>
  </si>
  <si>
    <t>Первые три года первого периода регулирования (2010-2012)</t>
  </si>
  <si>
    <t>Последующие годы первого периода регулирования (2013-2015)</t>
  </si>
  <si>
    <t>Последующие годы</t>
  </si>
  <si>
    <t>Первые три года первого периода регулирования</t>
  </si>
  <si>
    <t>Последующие годы первого периода регулирования</t>
  </si>
  <si>
    <t>К показателю надежности</t>
  </si>
  <si>
    <t>К показателю качества</t>
  </si>
  <si>
    <t>Организация/период</t>
  </si>
  <si>
    <t xml:space="preserve">Поэтапное (1% в год) от 20% до 15% </t>
  </si>
  <si>
    <t xml:space="preserve">Поэтапное (1% в год) от 30% до 25% </t>
  </si>
  <si>
    <t>Коэффициент надежности</t>
  </si>
  <si>
    <t>ТСО</t>
  </si>
  <si>
    <t>Организация</t>
  </si>
  <si>
    <t>Значение показателей надежности и качества</t>
  </si>
  <si>
    <t>Коэффициент допустимого отклонения показателя надежности и качества</t>
  </si>
  <si>
    <t>Отметка о достижении показателя надежности и качества</t>
  </si>
  <si>
    <t>Определение коэффициентов надежности и качества</t>
  </si>
  <si>
    <t>Значения обобщенного показателя надежности и качества</t>
  </si>
  <si>
    <t>Коэффициенты допустимого отклонения показателей надежности и качества</t>
  </si>
  <si>
    <t>IV - СВОД ПО ПОКАЗАТЕЛЯМ НАДЕЖНОСТИ И КАЧЕСТВА И РАСЧЕТ ОБОБЩЕННОГО ПОКАЗАТЕЛЯ</t>
  </si>
  <si>
    <t>V - Расчет корректировки НВВ по показателям надежности и качества</t>
  </si>
  <si>
    <t>Коэффициент корректировки</t>
  </si>
  <si>
    <t>на 2011 год</t>
  </si>
  <si>
    <t>на 2012 год</t>
  </si>
  <si>
    <t>ФСК при представлении достоверных отчетных данных</t>
  </si>
  <si>
    <t>ТСО при представлении достоверных отчетных данных</t>
  </si>
  <si>
    <t>Максимальные проценты корректировки  при представлении достоверных отчетных данных согласно МУ</t>
  </si>
  <si>
    <t>Справочно:</t>
  </si>
  <si>
    <t>Коэффициент корректировки в случае непредставления отчетных данных</t>
  </si>
  <si>
    <t>Предельный процент отклонения отчетных данных организации от данных Технадзора, ФАС, Фед. Службы по защите прав потребителей, Системного Оператора, при превышении которого, данные признаются недостоверными</t>
  </si>
  <si>
    <t>на 2013 год и далее</t>
  </si>
  <si>
    <t>Коэффициенты значимости коэффициентов надежности и качества</t>
  </si>
  <si>
    <t>+</t>
  </si>
  <si>
    <t>1. Соблюдение сроков по процедурам взаимодействия с потребителями услуг (заявителями)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</si>
  <si>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</si>
  <si>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</si>
  <si>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</si>
  <si>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</si>
  <si>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</si>
  <si>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</si>
  <si>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процедуры, согласования с потребителями услуг графиков вывода электросетевого оборудования в ремонт и (или) из эксплуатации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</si>
  <si>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</si>
  <si>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</si>
  <si>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</si>
  <si>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5. Итого по индикатору исполнительности</t>
  </si>
  <si>
    <t>I - Расчет показателя уровня надежности оказываемых услуг</t>
  </si>
  <si>
    <t>(Наименование ТСО)</t>
  </si>
  <si>
    <t>Число, шт.</t>
  </si>
  <si>
    <t>1. Показатель качства рассмотрения заявок на техлологическое присоединение к сети</t>
  </si>
  <si>
    <t>1.1.Число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 договра об осуществлении технологического присоединения заявителя к сети, шт. (Nзаяв_тпр)</t>
  </si>
  <si>
    <t>3. Показатель качства рассмотрения заявок на техлологическое присоединение к сети</t>
  </si>
  <si>
    <r>
      <t>3.1.Число договорв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</si>
  <si>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t>2. Итого показатель качества рассмотрения заявок на технологическое присоединение к сети     (П заяв_тпр)</t>
  </si>
  <si>
    <t>4. Итого показатель качества исполнения договоров об осуществлении технологического присоединение заявителей к  сети (П нс_тпр)</t>
  </si>
  <si>
    <t>5. Показатель качства рассмотрения заявок на техлологическое присоединение к сети</t>
  </si>
  <si>
    <t>5.1Число вступивших в законную силу решений антимонопольного  законодательства и (или) суда об установлении нарушений сетевой организацией требований антимонопольного законодательства РФ в части оказания услуг по технологическому присоединению в соответствующем расчетном периоде, шт. (Nн_тпр)</t>
  </si>
  <si>
    <t xml:space="preserve">5.2.Общее число заявок на технологическое присоединение к сети, поданных заявителями в соответствующий расчетнгый период, в десятках шт. без округления (Nочз_тпр) </t>
  </si>
  <si>
    <t>6.Показатель соблюдения антимонопольного законодательства при  технологическом присоединении к электрическим сетям сетевой организации  (П нпа_тпр)</t>
  </si>
  <si>
    <t>Показатель уровня качества оказываемых услуг ТСО</t>
  </si>
  <si>
    <t>плановое значение</t>
  </si>
  <si>
    <t>фактическое значение</t>
  </si>
  <si>
    <t>б) наличие положения о деятельности структурного подразделения по работе с заявителями и потребителями услуг (наличие -1, отсутствие - 0)</t>
  </si>
  <si>
    <t>а) для физических лиц, включая индивидуальных предпринимателей, и юридических лиц - субъектов малого и среднего предпринимательства</t>
  </si>
  <si>
    <t>б) для остальных потребителей услуг</t>
  </si>
  <si>
    <t>а) письменных опросов</t>
  </si>
  <si>
    <t>б) электронной связи через сеть Интернет</t>
  </si>
  <si>
    <t>в) системы автоинформирования</t>
  </si>
  <si>
    <t>мес.</t>
  </si>
  <si>
    <t>1.2.Число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 договра об осуществлении технологического присоединения к сети с нарушением установленных сроков его направления,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 заяв_тпр)</t>
  </si>
  <si>
    <t>Показатель уровня качества обслуживания потребителей услуг ТСО</t>
  </si>
  <si>
    <t>III - Расчет показателя уровня качества обслуживания потребителей услуг  ТСО</t>
  </si>
  <si>
    <t>IV - Расчет показателя уровня качества осуществляемого технологического присоединения к сети</t>
  </si>
  <si>
    <t>Коэффициенты качества</t>
  </si>
  <si>
    <t>Переход на долгосрочное регулирование ТСО</t>
  </si>
  <si>
    <t>до 01.07.2010г. (отчет за 1-3 годы 1 ДПР)</t>
  </si>
  <si>
    <t>до 01.07.2010г. (отчет за последующие годы 1 ДПР)</t>
  </si>
  <si>
    <t>после 01.07.2010г. (отчет за 1-3 годы 1 ДПР)</t>
  </si>
  <si>
    <t>после 01.07.2010г. (отчет за последующие годы 1 ДПР)</t>
  </si>
  <si>
    <t>При представлении для расчета какого-либо показателя недостоверных отчетных данных, индикатор выполнения по показателю (Кнад и/или Ккач1, Ккач2)  признается равным -1</t>
  </si>
  <si>
    <t>Максимальный процент корректрировки на текущий год при представлении достоверных отчетных данных</t>
  </si>
  <si>
    <t>Показатель уровня качества осуществляемого технологического присоединения к сети</t>
  </si>
  <si>
    <t>Отметка о  достоверности отчетных данных</t>
  </si>
  <si>
    <r>
      <t xml:space="preserve">3.2.Число договорв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                                                                         </t>
    </r>
    <r>
      <rPr>
        <sz val="10"/>
        <color indexed="9"/>
        <rFont val="Arial"/>
        <family val="2"/>
        <charset val="204"/>
      </rPr>
      <t xml:space="preserve">11               </t>
    </r>
    <r>
      <rPr>
        <sz val="8"/>
        <rFont val="Arial"/>
        <family val="2"/>
        <charset val="204"/>
      </rPr>
      <t>нс</t>
    </r>
    <r>
      <rPr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 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</si>
  <si>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t>ООО "Энергонефть Томск" (ПЛАНОВЫЕ ПОКАЗАТЕЛИ НА 2014 год не утверждались!!!!)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</si>
</sst>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"/>
    <numFmt numFmtId="165" formatCode="0.0000"/>
  </numFmts>
  <fonts count="13" x14ac:knownFonts="1">
    <font>
      <sz val="10"/>
      <name val="Verdana"/>
      <charset val="204"/>
    </font>
    <font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sz val="10"/>
      <color indexed="10"/>
      <name val="Verdana"/>
      <family val="2"/>
      <charset val="204"/>
    </font>
    <font>
      <sz val="8"/>
      <name val="Verdana"/>
      <family val="2"/>
      <charset val="204"/>
    </font>
    <font>
      <b/>
      <sz val="16"/>
      <name val="Verdana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b/>
      <u/>
      <sz val="10"/>
      <name val="Verdana"/>
      <family val="2"/>
      <charset val="204"/>
    </font>
    <font>
      <sz val="10"/>
      <color theme="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10" fontId="2" fillId="3" borderId="1" xfId="1" applyNumberFormat="1" applyFon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left" vertical="center"/>
    </xf>
    <xf numFmtId="9" fontId="2" fillId="6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2" fillId="0" borderId="0" xfId="0" applyFont="1" applyFill="1" applyProtection="1"/>
    <xf numFmtId="0" fontId="7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Protection="1"/>
    <xf numFmtId="0" fontId="3" fillId="2" borderId="1" xfId="0" applyFont="1" applyFill="1" applyBorder="1" applyProtection="1"/>
    <xf numFmtId="3" fontId="3" fillId="2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4" fontId="3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 wrapText="1"/>
    </xf>
    <xf numFmtId="3" fontId="4" fillId="2" borderId="3" xfId="0" applyNumberFormat="1" applyFont="1" applyFill="1" applyBorder="1" applyAlignment="1" applyProtection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top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top" wrapText="1"/>
    </xf>
    <xf numFmtId="3" fontId="2" fillId="0" borderId="1" xfId="0" applyNumberFormat="1" applyFont="1" applyBorder="1" applyAlignment="1" applyProtection="1">
      <alignment horizontal="center" vertical="center"/>
    </xf>
    <xf numFmtId="9" fontId="2" fillId="4" borderId="1" xfId="1" applyFont="1" applyFill="1" applyBorder="1" applyAlignment="1" applyProtection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/>
    </xf>
    <xf numFmtId="9" fontId="2" fillId="0" borderId="1" xfId="1" applyFont="1" applyFill="1" applyBorder="1" applyAlignment="1" applyProtection="1">
      <alignment horizontal="center" vertical="center"/>
    </xf>
    <xf numFmtId="9" fontId="3" fillId="4" borderId="1" xfId="1" applyFont="1" applyFill="1" applyBorder="1" applyAlignment="1" applyProtection="1">
      <alignment horizontal="center" vertical="center"/>
    </xf>
    <xf numFmtId="10" fontId="3" fillId="4" borderId="1" xfId="1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top" wrapText="1"/>
    </xf>
    <xf numFmtId="4" fontId="4" fillId="2" borderId="3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 wrapText="1"/>
    </xf>
    <xf numFmtId="4" fontId="3" fillId="0" borderId="1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9" fontId="3" fillId="0" borderId="1" xfId="1" applyFont="1" applyFill="1" applyBorder="1" applyAlignment="1" applyProtection="1">
      <alignment horizontal="center" vertical="center"/>
    </xf>
    <xf numFmtId="9" fontId="2" fillId="4" borderId="1" xfId="1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1" xfId="0" applyFont="1" applyBorder="1" applyAlignment="1" applyProtection="1">
      <alignment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4" fillId="2" borderId="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2" fillId="0" borderId="1" xfId="0" applyFont="1" applyFill="1" applyBorder="1" applyProtection="1"/>
    <xf numFmtId="164" fontId="2" fillId="4" borderId="1" xfId="0" applyNumberFormat="1" applyFont="1" applyFill="1" applyBorder="1" applyAlignment="1" applyProtection="1">
      <alignment horizontal="center" vertical="center"/>
    </xf>
    <xf numFmtId="9" fontId="2" fillId="6" borderId="1" xfId="1" applyNumberFormat="1" applyFont="1" applyFill="1" applyBorder="1" applyAlignment="1" applyProtection="1">
      <alignment horizontal="center" vertical="center"/>
    </xf>
    <xf numFmtId="9" fontId="2" fillId="4" borderId="1" xfId="1" applyFont="1" applyFill="1" applyBorder="1" applyAlignment="1" applyProtection="1">
      <alignment horizontal="center" vertical="center" wrapText="1"/>
    </xf>
    <xf numFmtId="3" fontId="2" fillId="4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9" fontId="5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2" fillId="0" borderId="7" xfId="0" applyFont="1" applyFill="1" applyBorder="1" applyProtection="1"/>
    <xf numFmtId="4" fontId="2" fillId="4" borderId="7" xfId="0" applyNumberFormat="1" applyFont="1" applyFill="1" applyBorder="1" applyAlignment="1" applyProtection="1">
      <alignment horizontal="center" vertical="center"/>
    </xf>
    <xf numFmtId="9" fontId="2" fillId="2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9" fontId="2" fillId="0" borderId="1" xfId="1" applyFont="1" applyBorder="1" applyAlignment="1" applyProtection="1">
      <alignment horizontal="center" vertical="center"/>
    </xf>
    <xf numFmtId="9" fontId="2" fillId="0" borderId="1" xfId="1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vertical="center" wrapText="1"/>
    </xf>
    <xf numFmtId="4" fontId="2" fillId="0" borderId="1" xfId="1" applyNumberFormat="1" applyFont="1" applyFill="1" applyBorder="1" applyAlignment="1" applyProtection="1">
      <alignment horizontal="center" vertical="center"/>
    </xf>
    <xf numFmtId="43" fontId="2" fillId="0" borderId="1" xfId="2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0" fontId="2" fillId="4" borderId="1" xfId="0" applyNumberFormat="1" applyFont="1" applyFill="1" applyBorder="1" applyAlignment="1" applyProtection="1">
      <alignment horizontal="center"/>
    </xf>
    <xf numFmtId="10" fontId="2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indent="1"/>
    </xf>
    <xf numFmtId="0" fontId="2" fillId="0" borderId="0" xfId="0" applyFont="1" applyBorder="1" applyAlignment="1" applyProtection="1">
      <alignment horizontal="left" indent="1"/>
    </xf>
    <xf numFmtId="10" fontId="2" fillId="0" borderId="0" xfId="0" applyNumberFormat="1" applyFont="1" applyBorder="1" applyAlignment="1" applyProtection="1">
      <alignment horizontal="center"/>
    </xf>
    <xf numFmtId="9" fontId="2" fillId="0" borderId="0" xfId="1" applyFont="1" applyProtection="1"/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9" fontId="2" fillId="0" borderId="2" xfId="1" applyFont="1" applyBorder="1" applyAlignment="1" applyProtection="1">
      <alignment horizontal="center" vertical="center"/>
    </xf>
    <xf numFmtId="9" fontId="2" fillId="0" borderId="4" xfId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top"/>
    </xf>
    <xf numFmtId="9" fontId="2" fillId="0" borderId="2" xfId="1" applyFont="1" applyBorder="1" applyAlignment="1" applyProtection="1">
      <alignment horizontal="center" vertical="center" wrapText="1"/>
    </xf>
    <xf numFmtId="9" fontId="2" fillId="0" borderId="4" xfId="1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/>
    </xf>
    <xf numFmtId="9" fontId="2" fillId="3" borderId="2" xfId="1" applyFont="1" applyFill="1" applyBorder="1" applyAlignment="1" applyProtection="1">
      <alignment horizontal="center" vertical="center" wrapText="1"/>
      <protection locked="0"/>
    </xf>
    <xf numFmtId="9" fontId="2" fillId="3" borderId="4" xfId="1" applyFont="1" applyFill="1" applyBorder="1" applyAlignment="1" applyProtection="1">
      <alignment horizontal="center" vertical="center" wrapText="1"/>
      <protection locked="0"/>
    </xf>
    <xf numFmtId="9" fontId="2" fillId="0" borderId="7" xfId="1" applyFont="1" applyBorder="1" applyAlignment="1" applyProtection="1">
      <alignment horizontal="center" vertical="center"/>
    </xf>
    <xf numFmtId="9" fontId="2" fillId="0" borderId="9" xfId="1" applyFont="1" applyBorder="1" applyAlignment="1" applyProtection="1">
      <alignment horizontal="center" vertical="center"/>
    </xf>
    <xf numFmtId="9" fontId="2" fillId="0" borderId="8" xfId="1" applyFont="1" applyBorder="1" applyAlignment="1" applyProtection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5"/>
  <sheetViews>
    <sheetView tabSelected="1" topLeftCell="B1" zoomScale="85" zoomScaleNormal="85" workbookViewId="0">
      <pane ySplit="2" topLeftCell="A3" activePane="bottomLeft" state="frozen"/>
      <selection activeCell="B1" sqref="B1"/>
      <selection pane="bottomLeft" activeCell="H80" sqref="H80"/>
    </sheetView>
  </sheetViews>
  <sheetFormatPr defaultRowHeight="12.75" outlineLevelRow="1" x14ac:dyDescent="0.2"/>
  <cols>
    <col min="1" max="1" width="4.5" style="8" customWidth="1"/>
    <col min="2" max="2" width="88.375" style="8" customWidth="1"/>
    <col min="3" max="3" width="18.375" style="8" customWidth="1"/>
    <col min="4" max="4" width="16.875" style="8" customWidth="1"/>
    <col min="5" max="5" width="15.125" style="8" customWidth="1"/>
    <col min="6" max="6" width="15" style="8" customWidth="1"/>
    <col min="7" max="7" width="16.625" style="8" customWidth="1"/>
    <col min="8" max="8" width="16.5" style="8" customWidth="1"/>
    <col min="9" max="9" width="14.375" style="8" customWidth="1"/>
    <col min="10" max="10" width="11.5" style="8" customWidth="1"/>
    <col min="11" max="11" width="14.625" style="8" customWidth="1"/>
    <col min="12" max="12" width="11.75" style="8" customWidth="1"/>
    <col min="13" max="13" width="17.625" style="8" customWidth="1"/>
    <col min="14" max="14" width="11.625" style="8" customWidth="1"/>
    <col min="15" max="15" width="14.625" style="8" customWidth="1"/>
    <col min="16" max="16384" width="9" style="8"/>
  </cols>
  <sheetData>
    <row r="1" spans="2:5" ht="40.5" customHeight="1" thickBot="1" x14ac:dyDescent="0.25">
      <c r="B1" s="93" t="s">
        <v>157</v>
      </c>
      <c r="C1" s="93"/>
      <c r="D1" s="93"/>
      <c r="E1" s="93"/>
    </row>
    <row r="2" spans="2:5" s="9" customFormat="1" ht="40.5" customHeight="1" thickTop="1" x14ac:dyDescent="0.2">
      <c r="B2" s="94" t="s">
        <v>120</v>
      </c>
      <c r="C2" s="94"/>
      <c r="D2" s="94"/>
      <c r="E2" s="94"/>
    </row>
    <row r="3" spans="2:5" ht="19.5" x14ac:dyDescent="0.25">
      <c r="B3" s="10" t="s">
        <v>119</v>
      </c>
    </row>
    <row r="4" spans="2:5" ht="12.75" customHeight="1" x14ac:dyDescent="0.2">
      <c r="B4" s="84" t="s">
        <v>53</v>
      </c>
      <c r="C4" s="89" t="s">
        <v>52</v>
      </c>
      <c r="D4" s="84" t="s">
        <v>0</v>
      </c>
      <c r="E4" s="84"/>
    </row>
    <row r="5" spans="2:5" x14ac:dyDescent="0.2">
      <c r="B5" s="84"/>
      <c r="C5" s="90"/>
      <c r="D5" s="11" t="s">
        <v>36</v>
      </c>
      <c r="E5" s="11" t="s">
        <v>35</v>
      </c>
    </row>
    <row r="6" spans="2:5" x14ac:dyDescent="0.2">
      <c r="B6" s="12">
        <v>1</v>
      </c>
      <c r="C6" s="12">
        <v>2</v>
      </c>
      <c r="D6" s="12">
        <v>3</v>
      </c>
      <c r="E6" s="12">
        <v>4</v>
      </c>
    </row>
    <row r="7" spans="2:5" x14ac:dyDescent="0.2">
      <c r="B7" s="13" t="s">
        <v>60</v>
      </c>
      <c r="C7" s="14" t="s">
        <v>61</v>
      </c>
      <c r="D7" s="83"/>
      <c r="E7" s="1">
        <v>0</v>
      </c>
    </row>
    <row r="8" spans="2:5" x14ac:dyDescent="0.2">
      <c r="B8" s="15" t="s">
        <v>62</v>
      </c>
      <c r="C8" s="14" t="s">
        <v>43</v>
      </c>
      <c r="D8" s="1"/>
      <c r="E8" s="1">
        <v>0</v>
      </c>
    </row>
    <row r="9" spans="2:5" s="19" customFormat="1" x14ac:dyDescent="0.2">
      <c r="B9" s="16" t="s">
        <v>63</v>
      </c>
      <c r="C9" s="17" t="s">
        <v>2</v>
      </c>
      <c r="D9" s="18">
        <f>IF(D8=0,0,D7/D8)</f>
        <v>0</v>
      </c>
      <c r="E9" s="18">
        <f>IF(E8=0,0,E7/E8)</f>
        <v>0</v>
      </c>
    </row>
    <row r="11" spans="2:5" ht="19.5" x14ac:dyDescent="0.25">
      <c r="B11" s="10" t="s">
        <v>64</v>
      </c>
    </row>
    <row r="12" spans="2:5" ht="12.75" customHeight="1" x14ac:dyDescent="0.2">
      <c r="B12" s="84" t="s">
        <v>53</v>
      </c>
      <c r="C12" s="89" t="s">
        <v>52</v>
      </c>
      <c r="D12" s="84" t="s">
        <v>0</v>
      </c>
      <c r="E12" s="84"/>
    </row>
    <row r="13" spans="2:5" x14ac:dyDescent="0.2">
      <c r="B13" s="84"/>
      <c r="C13" s="90"/>
      <c r="D13" s="11" t="s">
        <v>36</v>
      </c>
      <c r="E13" s="11" t="s">
        <v>35</v>
      </c>
    </row>
    <row r="14" spans="2:5" x14ac:dyDescent="0.2">
      <c r="B14" s="12">
        <v>1</v>
      </c>
      <c r="C14" s="12"/>
      <c r="D14" s="12">
        <v>2</v>
      </c>
      <c r="E14" s="12">
        <v>3</v>
      </c>
    </row>
    <row r="15" spans="2:5" x14ac:dyDescent="0.2">
      <c r="B15" s="13" t="s">
        <v>65</v>
      </c>
      <c r="C15" s="14" t="s">
        <v>43</v>
      </c>
      <c r="D15" s="1"/>
      <c r="E15" s="1"/>
    </row>
    <row r="16" spans="2:5" x14ac:dyDescent="0.2">
      <c r="B16" s="13" t="s">
        <v>66</v>
      </c>
      <c r="C16" s="14" t="s">
        <v>43</v>
      </c>
      <c r="D16" s="1"/>
      <c r="E16" s="1"/>
    </row>
    <row r="17" spans="2:15" x14ac:dyDescent="0.2">
      <c r="B17" s="15" t="s">
        <v>67</v>
      </c>
      <c r="C17" s="14" t="s">
        <v>43</v>
      </c>
      <c r="D17" s="1"/>
      <c r="E17" s="1"/>
    </row>
    <row r="18" spans="2:15" x14ac:dyDescent="0.2">
      <c r="B18" s="16" t="s">
        <v>70</v>
      </c>
      <c r="C18" s="17" t="s">
        <v>2</v>
      </c>
      <c r="D18" s="20">
        <f>D15/(MAX(1,D16-D17))</f>
        <v>0</v>
      </c>
      <c r="E18" s="20">
        <f>E15/(MAX(1,E16-E17))</f>
        <v>0</v>
      </c>
    </row>
    <row r="20" spans="2:15" ht="19.5" x14ac:dyDescent="0.25">
      <c r="B20" s="10" t="s">
        <v>144</v>
      </c>
    </row>
    <row r="21" spans="2:15" s="19" customFormat="1" ht="33" customHeight="1" x14ac:dyDescent="0.2">
      <c r="B21" s="84" t="s">
        <v>53</v>
      </c>
      <c r="C21" s="89" t="s">
        <v>52</v>
      </c>
      <c r="D21" s="84" t="s">
        <v>0</v>
      </c>
      <c r="E21" s="84"/>
      <c r="F21" s="84" t="s">
        <v>37</v>
      </c>
      <c r="G21" s="84" t="s">
        <v>1</v>
      </c>
      <c r="H21" s="89" t="s">
        <v>69</v>
      </c>
      <c r="I21" s="89" t="s">
        <v>68</v>
      </c>
      <c r="J21" s="84" t="s">
        <v>51</v>
      </c>
      <c r="K21" s="84"/>
      <c r="L21" s="84"/>
      <c r="M21" s="84"/>
      <c r="N21" s="84"/>
      <c r="O21" s="84"/>
    </row>
    <row r="22" spans="2:15" s="19" customFormat="1" ht="25.5" x14ac:dyDescent="0.2">
      <c r="B22" s="84"/>
      <c r="C22" s="90"/>
      <c r="D22" s="11" t="s">
        <v>36</v>
      </c>
      <c r="E22" s="11" t="s">
        <v>35</v>
      </c>
      <c r="F22" s="84"/>
      <c r="G22" s="84"/>
      <c r="H22" s="90"/>
      <c r="I22" s="90"/>
      <c r="J22" s="11" t="s">
        <v>38</v>
      </c>
      <c r="K22" s="11" t="s">
        <v>41</v>
      </c>
      <c r="L22" s="11" t="s">
        <v>39</v>
      </c>
      <c r="M22" s="11" t="s">
        <v>41</v>
      </c>
      <c r="N22" s="11" t="s">
        <v>40</v>
      </c>
      <c r="O22" s="11" t="s">
        <v>41</v>
      </c>
    </row>
    <row r="23" spans="2:15" x14ac:dyDescent="0.2">
      <c r="B23" s="12">
        <v>1</v>
      </c>
      <c r="C23" s="12">
        <f>B23+1</f>
        <v>2</v>
      </c>
      <c r="D23" s="12">
        <f t="shared" ref="D23:I23" si="0">C23+1</f>
        <v>3</v>
      </c>
      <c r="E23" s="12">
        <f t="shared" si="0"/>
        <v>4</v>
      </c>
      <c r="F23" s="12">
        <f t="shared" si="0"/>
        <v>5</v>
      </c>
      <c r="G23" s="12">
        <f t="shared" si="0"/>
        <v>6</v>
      </c>
      <c r="H23" s="12">
        <f t="shared" si="0"/>
        <v>7</v>
      </c>
      <c r="I23" s="12">
        <f t="shared" si="0"/>
        <v>8</v>
      </c>
      <c r="J23" s="91">
        <f>I23+1</f>
        <v>9</v>
      </c>
      <c r="K23" s="91"/>
      <c r="L23" s="91"/>
      <c r="M23" s="91"/>
      <c r="N23" s="91"/>
      <c r="O23" s="91"/>
    </row>
    <row r="24" spans="2:15" ht="15" x14ac:dyDescent="0.2">
      <c r="B24" s="21" t="s">
        <v>32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</row>
    <row r="25" spans="2:15" s="19" customFormat="1" ht="25.5" x14ac:dyDescent="0.2">
      <c r="B25" s="25" t="s">
        <v>42</v>
      </c>
      <c r="C25" s="26" t="s">
        <v>2</v>
      </c>
      <c r="D25" s="26" t="s">
        <v>2</v>
      </c>
      <c r="E25" s="26" t="s">
        <v>2</v>
      </c>
      <c r="F25" s="26" t="s">
        <v>2</v>
      </c>
      <c r="G25" s="26" t="s">
        <v>2</v>
      </c>
      <c r="H25" s="27">
        <f>AVERAGE(H26:H27)</f>
        <v>2</v>
      </c>
      <c r="I25" s="27">
        <f>AVERAGE(I26:I27)</f>
        <v>2</v>
      </c>
      <c r="J25" s="26" t="s">
        <v>2</v>
      </c>
      <c r="K25" s="26" t="s">
        <v>2</v>
      </c>
      <c r="L25" s="26" t="s">
        <v>2</v>
      </c>
      <c r="M25" s="26" t="s">
        <v>2</v>
      </c>
      <c r="N25" s="26" t="s">
        <v>2</v>
      </c>
      <c r="O25" s="26" t="s">
        <v>2</v>
      </c>
    </row>
    <row r="26" spans="2:15" ht="25.5" outlineLevel="1" x14ac:dyDescent="0.2">
      <c r="B26" s="28" t="s">
        <v>3</v>
      </c>
      <c r="C26" s="29" t="s">
        <v>18</v>
      </c>
      <c r="D26" s="2"/>
      <c r="E26" s="2">
        <f>2/33</f>
        <v>6.0606060606060608E-2</v>
      </c>
      <c r="F26" s="30">
        <f t="shared" ref="F26:F27" si="1">IF(E26="-","-",IF(D26=E26,1,IF(D26=0,120%,E26/D26)))</f>
        <v>1.2</v>
      </c>
      <c r="G26" s="29" t="s">
        <v>4</v>
      </c>
      <c r="H26" s="31">
        <f t="shared" ref="H26:H27" si="2">L26</f>
        <v>2</v>
      </c>
      <c r="I26" s="31">
        <f t="shared" ref="I26:I27" si="3">IF(F26="-","-",IF(G26="прямая",IF(F26&gt;120%,J26,IF(F26&lt;80%,N26,L26)),IF(F26&lt;80%,J26,IF(F26&gt;120%,N26,L26))))</f>
        <v>2</v>
      </c>
      <c r="J26" s="29">
        <v>1</v>
      </c>
      <c r="K26" s="29" t="str">
        <f t="shared" ref="K26:K27" si="4">IF($G26="прямая","гр.4&gt;120%",IF($G26="обратная","гр.4&lt;80%","???"))</f>
        <v>гр.4&gt;120%</v>
      </c>
      <c r="L26" s="29">
        <v>2</v>
      </c>
      <c r="M26" s="29" t="s">
        <v>50</v>
      </c>
      <c r="N26" s="29">
        <v>3</v>
      </c>
      <c r="O26" s="29" t="str">
        <f t="shared" ref="O26:O27" si="5">IF($G26="прямая","гр.4&lt;80%",IF($G26="обратная","гр.4&gt;120%","???"))</f>
        <v>гр.4&lt;80%</v>
      </c>
    </row>
    <row r="27" spans="2:15" ht="38.25" outlineLevel="1" x14ac:dyDescent="0.2">
      <c r="B27" s="28" t="s">
        <v>44</v>
      </c>
      <c r="C27" s="29" t="s">
        <v>43</v>
      </c>
      <c r="D27" s="31">
        <f>SUM(D28:D31)</f>
        <v>0</v>
      </c>
      <c r="E27" s="31">
        <f>SUM(E28:E31)</f>
        <v>12</v>
      </c>
      <c r="F27" s="30">
        <f t="shared" si="1"/>
        <v>1.2</v>
      </c>
      <c r="G27" s="29" t="s">
        <v>4</v>
      </c>
      <c r="H27" s="31">
        <f t="shared" si="2"/>
        <v>2</v>
      </c>
      <c r="I27" s="31">
        <f t="shared" si="3"/>
        <v>2</v>
      </c>
      <c r="J27" s="29">
        <v>1</v>
      </c>
      <c r="K27" s="29" t="str">
        <f t="shared" si="4"/>
        <v>гр.4&gt;120%</v>
      </c>
      <c r="L27" s="29">
        <v>2</v>
      </c>
      <c r="M27" s="29" t="s">
        <v>50</v>
      </c>
      <c r="N27" s="29">
        <v>3</v>
      </c>
      <c r="O27" s="29" t="str">
        <f t="shared" si="5"/>
        <v>гр.4&lt;80%</v>
      </c>
    </row>
    <row r="28" spans="2:15" outlineLevel="1" x14ac:dyDescent="0.2">
      <c r="B28" s="28" t="s">
        <v>45</v>
      </c>
      <c r="C28" s="29" t="s">
        <v>43</v>
      </c>
      <c r="D28" s="3"/>
      <c r="E28" s="3">
        <v>0</v>
      </c>
      <c r="F28" s="32" t="s">
        <v>2</v>
      </c>
      <c r="G28" s="26" t="s">
        <v>2</v>
      </c>
      <c r="H28" s="26" t="s">
        <v>2</v>
      </c>
      <c r="I28" s="26" t="s">
        <v>2</v>
      </c>
      <c r="J28" s="26" t="s">
        <v>2</v>
      </c>
      <c r="K28" s="26" t="s">
        <v>2</v>
      </c>
      <c r="L28" s="26" t="s">
        <v>2</v>
      </c>
      <c r="M28" s="26" t="s">
        <v>2</v>
      </c>
      <c r="N28" s="26" t="s">
        <v>2</v>
      </c>
      <c r="O28" s="26" t="s">
        <v>2</v>
      </c>
    </row>
    <row r="29" spans="2:15" ht="25.5" outlineLevel="1" x14ac:dyDescent="0.2">
      <c r="B29" s="28" t="s">
        <v>135</v>
      </c>
      <c r="C29" s="29" t="s">
        <v>46</v>
      </c>
      <c r="D29" s="3"/>
      <c r="E29" s="3">
        <v>1</v>
      </c>
      <c r="F29" s="32" t="s">
        <v>2</v>
      </c>
      <c r="G29" s="26" t="s">
        <v>2</v>
      </c>
      <c r="H29" s="26" t="s">
        <v>2</v>
      </c>
      <c r="I29" s="26" t="s">
        <v>2</v>
      </c>
      <c r="J29" s="26" t="s">
        <v>2</v>
      </c>
      <c r="K29" s="26" t="s">
        <v>2</v>
      </c>
      <c r="L29" s="26" t="s">
        <v>2</v>
      </c>
      <c r="M29" s="26" t="s">
        <v>2</v>
      </c>
      <c r="N29" s="26" t="s">
        <v>2</v>
      </c>
      <c r="O29" s="26" t="s">
        <v>2</v>
      </c>
    </row>
    <row r="30" spans="2:15" outlineLevel="1" x14ac:dyDescent="0.2">
      <c r="B30" s="28" t="s">
        <v>47</v>
      </c>
      <c r="C30" s="29" t="s">
        <v>43</v>
      </c>
      <c r="D30" s="3"/>
      <c r="E30" s="3">
        <v>11</v>
      </c>
      <c r="F30" s="32" t="s">
        <v>2</v>
      </c>
      <c r="G30" s="26" t="s">
        <v>2</v>
      </c>
      <c r="H30" s="26" t="s">
        <v>2</v>
      </c>
      <c r="I30" s="26" t="s">
        <v>2</v>
      </c>
      <c r="J30" s="26" t="s">
        <v>2</v>
      </c>
      <c r="K30" s="26" t="s">
        <v>2</v>
      </c>
      <c r="L30" s="26" t="s">
        <v>2</v>
      </c>
      <c r="M30" s="26" t="s">
        <v>2</v>
      </c>
      <c r="N30" s="26" t="s">
        <v>2</v>
      </c>
      <c r="O30" s="26" t="s">
        <v>2</v>
      </c>
    </row>
    <row r="31" spans="2:15" ht="25.5" outlineLevel="1" x14ac:dyDescent="0.2">
      <c r="B31" s="28" t="s">
        <v>48</v>
      </c>
      <c r="C31" s="29" t="s">
        <v>43</v>
      </c>
      <c r="D31" s="3"/>
      <c r="E31" s="3">
        <v>0</v>
      </c>
      <c r="F31" s="32" t="s">
        <v>2</v>
      </c>
      <c r="G31" s="26" t="s">
        <v>2</v>
      </c>
      <c r="H31" s="26" t="s">
        <v>2</v>
      </c>
      <c r="I31" s="26" t="s">
        <v>2</v>
      </c>
      <c r="J31" s="26" t="s">
        <v>2</v>
      </c>
      <c r="K31" s="26" t="s">
        <v>2</v>
      </c>
      <c r="L31" s="26" t="s">
        <v>2</v>
      </c>
      <c r="M31" s="26" t="s">
        <v>2</v>
      </c>
      <c r="N31" s="26" t="s">
        <v>2</v>
      </c>
      <c r="O31" s="26" t="s">
        <v>2</v>
      </c>
    </row>
    <row r="32" spans="2:15" s="19" customFormat="1" ht="28.5" customHeight="1" x14ac:dyDescent="0.2">
      <c r="B32" s="25" t="s">
        <v>5</v>
      </c>
      <c r="C32" s="26" t="s">
        <v>2</v>
      </c>
      <c r="D32" s="26" t="s">
        <v>2</v>
      </c>
      <c r="E32" s="26" t="s">
        <v>2</v>
      </c>
      <c r="F32" s="26" t="s">
        <v>2</v>
      </c>
      <c r="G32" s="26" t="s">
        <v>2</v>
      </c>
      <c r="H32" s="27">
        <f>AVERAGE(H33:H35)</f>
        <v>2</v>
      </c>
      <c r="I32" s="27">
        <f>AVERAGE(I33:I35)</f>
        <v>2</v>
      </c>
      <c r="J32" s="26" t="s">
        <v>2</v>
      </c>
      <c r="K32" s="26" t="s">
        <v>2</v>
      </c>
      <c r="L32" s="26" t="s">
        <v>2</v>
      </c>
      <c r="M32" s="26" t="s">
        <v>2</v>
      </c>
      <c r="N32" s="26" t="s">
        <v>2</v>
      </c>
      <c r="O32" s="26" t="s">
        <v>2</v>
      </c>
    </row>
    <row r="33" spans="2:15" outlineLevel="1" x14ac:dyDescent="0.2">
      <c r="B33" s="28" t="s">
        <v>6</v>
      </c>
      <c r="C33" s="29" t="s">
        <v>49</v>
      </c>
      <c r="D33" s="3"/>
      <c r="E33" s="3">
        <v>0</v>
      </c>
      <c r="F33" s="30">
        <f t="shared" ref="F33:F38" si="6">IF(E33="-","-",IF(D33=E33,1,IF(D33=0,120%,E33/D33)))</f>
        <v>1</v>
      </c>
      <c r="G33" s="29" t="s">
        <v>4</v>
      </c>
      <c r="H33" s="31">
        <f t="shared" ref="H33:H38" si="7">L33</f>
        <v>2</v>
      </c>
      <c r="I33" s="31">
        <f t="shared" ref="I33:I38" si="8">IF(F33="-","-",IF(G33="прямая",IF(F33&gt;120%,J33,IF(F33&lt;80%,N33,L33)),IF(F33&lt;80%,J33,IF(F33&gt;120%,N33,L33))))</f>
        <v>2</v>
      </c>
      <c r="J33" s="29">
        <v>1</v>
      </c>
      <c r="K33" s="29" t="str">
        <f t="shared" ref="K33:K38" si="9">IF($G33="прямая","гр.4&gt;120%",IF($G33="обратная","гр.4&lt;80%","???"))</f>
        <v>гр.4&gt;120%</v>
      </c>
      <c r="L33" s="29">
        <v>2</v>
      </c>
      <c r="M33" s="29" t="s">
        <v>50</v>
      </c>
      <c r="N33" s="29">
        <v>3</v>
      </c>
      <c r="O33" s="29" t="str">
        <f t="shared" ref="O33:O38" si="10">IF($G33="прямая","гр.4&lt;80%",IF($G33="обратная","гр.4&gt;120%","???"))</f>
        <v>гр.4&lt;80%</v>
      </c>
    </row>
    <row r="34" spans="2:15" ht="25.5" outlineLevel="1" x14ac:dyDescent="0.2">
      <c r="B34" s="28" t="s">
        <v>7</v>
      </c>
      <c r="C34" s="29" t="s">
        <v>49</v>
      </c>
      <c r="D34" s="3"/>
      <c r="E34" s="3">
        <v>0</v>
      </c>
      <c r="F34" s="30">
        <f t="shared" si="6"/>
        <v>1</v>
      </c>
      <c r="G34" s="29" t="s">
        <v>4</v>
      </c>
      <c r="H34" s="31">
        <f t="shared" si="7"/>
        <v>2</v>
      </c>
      <c r="I34" s="31">
        <f t="shared" si="8"/>
        <v>2</v>
      </c>
      <c r="J34" s="29">
        <v>1</v>
      </c>
      <c r="K34" s="29" t="str">
        <f t="shared" si="9"/>
        <v>гр.4&gt;120%</v>
      </c>
      <c r="L34" s="29">
        <v>2</v>
      </c>
      <c r="M34" s="29" t="s">
        <v>50</v>
      </c>
      <c r="N34" s="29">
        <v>3</v>
      </c>
      <c r="O34" s="29" t="str">
        <f t="shared" si="10"/>
        <v>гр.4&lt;80%</v>
      </c>
    </row>
    <row r="35" spans="2:15" ht="25.5" outlineLevel="1" x14ac:dyDescent="0.2">
      <c r="B35" s="28" t="s">
        <v>8</v>
      </c>
      <c r="C35" s="29" t="s">
        <v>49</v>
      </c>
      <c r="D35" s="3"/>
      <c r="E35" s="3">
        <v>0</v>
      </c>
      <c r="F35" s="30">
        <f t="shared" si="6"/>
        <v>1</v>
      </c>
      <c r="G35" s="29" t="s">
        <v>4</v>
      </c>
      <c r="H35" s="31">
        <f t="shared" si="7"/>
        <v>2</v>
      </c>
      <c r="I35" s="31">
        <f t="shared" si="8"/>
        <v>2</v>
      </c>
      <c r="J35" s="29">
        <v>1</v>
      </c>
      <c r="K35" s="29" t="str">
        <f t="shared" si="9"/>
        <v>гр.4&gt;120%</v>
      </c>
      <c r="L35" s="29">
        <v>2</v>
      </c>
      <c r="M35" s="29" t="s">
        <v>50</v>
      </c>
      <c r="N35" s="29">
        <v>3</v>
      </c>
      <c r="O35" s="29" t="str">
        <f t="shared" si="10"/>
        <v>гр.4&lt;80%</v>
      </c>
    </row>
    <row r="36" spans="2:15" s="19" customFormat="1" ht="38.25" x14ac:dyDescent="0.2">
      <c r="B36" s="25" t="s">
        <v>9</v>
      </c>
      <c r="C36" s="26" t="s">
        <v>49</v>
      </c>
      <c r="D36" s="4"/>
      <c r="E36" s="4">
        <v>1</v>
      </c>
      <c r="F36" s="33">
        <f t="shared" si="6"/>
        <v>1.2</v>
      </c>
      <c r="G36" s="26" t="s">
        <v>4</v>
      </c>
      <c r="H36" s="27">
        <f t="shared" si="7"/>
        <v>2</v>
      </c>
      <c r="I36" s="27">
        <f t="shared" si="8"/>
        <v>2</v>
      </c>
      <c r="J36" s="26">
        <v>1</v>
      </c>
      <c r="K36" s="26" t="str">
        <f t="shared" si="9"/>
        <v>гр.4&gt;120%</v>
      </c>
      <c r="L36" s="26">
        <v>2</v>
      </c>
      <c r="M36" s="26" t="s">
        <v>50</v>
      </c>
      <c r="N36" s="26">
        <v>3</v>
      </c>
      <c r="O36" s="26" t="str">
        <f t="shared" si="10"/>
        <v>гр.4&lt;80%</v>
      </c>
    </row>
    <row r="37" spans="2:15" s="19" customFormat="1" ht="38.25" x14ac:dyDescent="0.2">
      <c r="B37" s="25" t="s">
        <v>10</v>
      </c>
      <c r="C37" s="26" t="s">
        <v>49</v>
      </c>
      <c r="D37" s="4"/>
      <c r="E37" s="4">
        <v>1</v>
      </c>
      <c r="F37" s="33">
        <f t="shared" si="6"/>
        <v>1.2</v>
      </c>
      <c r="G37" s="26" t="s">
        <v>4</v>
      </c>
      <c r="H37" s="27">
        <f t="shared" si="7"/>
        <v>2</v>
      </c>
      <c r="I37" s="27">
        <f t="shared" si="8"/>
        <v>2</v>
      </c>
      <c r="J37" s="26">
        <v>1</v>
      </c>
      <c r="K37" s="26" t="str">
        <f t="shared" si="9"/>
        <v>гр.4&gt;120%</v>
      </c>
      <c r="L37" s="26">
        <v>2</v>
      </c>
      <c r="M37" s="26" t="s">
        <v>50</v>
      </c>
      <c r="N37" s="26">
        <v>3</v>
      </c>
      <c r="O37" s="26" t="str">
        <f t="shared" si="10"/>
        <v>гр.4&lt;80%</v>
      </c>
    </row>
    <row r="38" spans="2:15" s="19" customFormat="1" ht="25.5" x14ac:dyDescent="0.2">
      <c r="B38" s="25" t="s">
        <v>11</v>
      </c>
      <c r="C38" s="26" t="s">
        <v>18</v>
      </c>
      <c r="D38" s="34">
        <f>D39</f>
        <v>0</v>
      </c>
      <c r="E38" s="34">
        <f>E39</f>
        <v>0.02</v>
      </c>
      <c r="F38" s="33">
        <f t="shared" si="6"/>
        <v>1.2</v>
      </c>
      <c r="G38" s="35" t="s">
        <v>12</v>
      </c>
      <c r="H38" s="27">
        <f t="shared" si="7"/>
        <v>2</v>
      </c>
      <c r="I38" s="27">
        <f t="shared" si="8"/>
        <v>2</v>
      </c>
      <c r="J38" s="26">
        <v>1</v>
      </c>
      <c r="K38" s="26" t="str">
        <f t="shared" si="9"/>
        <v>гр.4&lt;80%</v>
      </c>
      <c r="L38" s="26">
        <v>2</v>
      </c>
      <c r="M38" s="26" t="s">
        <v>50</v>
      </c>
      <c r="N38" s="26">
        <v>3</v>
      </c>
      <c r="O38" s="26" t="str">
        <f t="shared" si="10"/>
        <v>гр.4&gt;120%</v>
      </c>
    </row>
    <row r="39" spans="2:15" ht="38.25" outlineLevel="1" x14ac:dyDescent="0.2">
      <c r="B39" s="28" t="s">
        <v>13</v>
      </c>
      <c r="C39" s="29" t="s">
        <v>18</v>
      </c>
      <c r="D39" s="2"/>
      <c r="E39" s="2">
        <v>0.02</v>
      </c>
      <c r="F39" s="26" t="s">
        <v>2</v>
      </c>
      <c r="G39" s="26" t="s">
        <v>2</v>
      </c>
      <c r="H39" s="26" t="s">
        <v>2</v>
      </c>
      <c r="I39" s="26" t="s">
        <v>2</v>
      </c>
      <c r="J39" s="26" t="s">
        <v>2</v>
      </c>
      <c r="K39" s="26" t="s">
        <v>2</v>
      </c>
      <c r="L39" s="26" t="s">
        <v>2</v>
      </c>
      <c r="M39" s="26" t="s">
        <v>2</v>
      </c>
      <c r="N39" s="26" t="s">
        <v>2</v>
      </c>
      <c r="O39" s="26" t="s">
        <v>2</v>
      </c>
    </row>
    <row r="40" spans="2:15" s="19" customFormat="1" ht="25.5" x14ac:dyDescent="0.2">
      <c r="B40" s="25" t="s">
        <v>14</v>
      </c>
      <c r="C40" s="26" t="s">
        <v>2</v>
      </c>
      <c r="D40" s="26" t="s">
        <v>2</v>
      </c>
      <c r="E40" s="26" t="s">
        <v>2</v>
      </c>
      <c r="F40" s="26" t="s">
        <v>2</v>
      </c>
      <c r="G40" s="26" t="s">
        <v>2</v>
      </c>
      <c r="H40" s="27">
        <f>AVERAGE(H41:H42)</f>
        <v>2</v>
      </c>
      <c r="I40" s="27">
        <f>AVERAGE(I41:I42)</f>
        <v>2</v>
      </c>
      <c r="J40" s="26" t="s">
        <v>2</v>
      </c>
      <c r="K40" s="26" t="s">
        <v>2</v>
      </c>
      <c r="L40" s="26" t="s">
        <v>2</v>
      </c>
      <c r="M40" s="26" t="s">
        <v>2</v>
      </c>
      <c r="N40" s="26" t="s">
        <v>2</v>
      </c>
      <c r="O40" s="26" t="s">
        <v>2</v>
      </c>
    </row>
    <row r="41" spans="2:15" ht="38.25" outlineLevel="1" x14ac:dyDescent="0.2">
      <c r="B41" s="28" t="s">
        <v>15</v>
      </c>
      <c r="C41" s="29" t="s">
        <v>18</v>
      </c>
      <c r="D41" s="2"/>
      <c r="E41" s="2">
        <v>0.06</v>
      </c>
      <c r="F41" s="30">
        <f t="shared" ref="F41:F42" si="11">IF(E41="-","-",IF(D41=E41,1,IF(D41=0,120%,E41/D41)))</f>
        <v>1.2</v>
      </c>
      <c r="G41" s="29" t="s">
        <v>12</v>
      </c>
      <c r="H41" s="31">
        <f t="shared" ref="H41:H42" si="12">L41</f>
        <v>2</v>
      </c>
      <c r="I41" s="31">
        <f t="shared" ref="I41:I42" si="13">IF(F41="-","-",IF(G41="прямая",IF(F41&gt;120%,J41,IF(F41&lt;80%,N41,L41)),IF(F41&lt;80%,J41,IF(F41&gt;120%,N41,L41))))</f>
        <v>2</v>
      </c>
      <c r="J41" s="29">
        <v>1</v>
      </c>
      <c r="K41" s="29" t="str">
        <f>IF($G41="прямая","гр.4&gt;120%",IF($G41="обратная","гр.4&lt;80%","???"))</f>
        <v>гр.4&lt;80%</v>
      </c>
      <c r="L41" s="29">
        <v>2</v>
      </c>
      <c r="M41" s="29" t="s">
        <v>50</v>
      </c>
      <c r="N41" s="29">
        <v>3</v>
      </c>
      <c r="O41" s="29" t="str">
        <f>IF($G41="прямая","гр.4&lt;80%",IF($G41="обратная","гр.4&gt;120%","???"))</f>
        <v>гр.4&gt;120%</v>
      </c>
    </row>
    <row r="42" spans="2:15" ht="51" outlineLevel="1" x14ac:dyDescent="0.2">
      <c r="B42" s="28" t="s">
        <v>16</v>
      </c>
      <c r="C42" s="29" t="s">
        <v>18</v>
      </c>
      <c r="D42" s="2"/>
      <c r="E42" s="2">
        <v>0</v>
      </c>
      <c r="F42" s="30">
        <f t="shared" si="11"/>
        <v>1</v>
      </c>
      <c r="G42" s="29" t="s">
        <v>12</v>
      </c>
      <c r="H42" s="31">
        <f t="shared" si="12"/>
        <v>2</v>
      </c>
      <c r="I42" s="31">
        <f t="shared" si="13"/>
        <v>2</v>
      </c>
      <c r="J42" s="29">
        <v>1</v>
      </c>
      <c r="K42" s="29" t="str">
        <f>IF($G42="прямая","гр.4&gt;120%",IF($G42="обратная","гр.4&lt;80%","???"))</f>
        <v>гр.4&lt;80%</v>
      </c>
      <c r="L42" s="29">
        <v>2</v>
      </c>
      <c r="M42" s="29" t="s">
        <v>50</v>
      </c>
      <c r="N42" s="29">
        <v>3</v>
      </c>
      <c r="O42" s="29" t="str">
        <f>IF($G42="прямая","гр.4&lt;80%",IF($G42="обратная","гр.4&gt;120%","???"))</f>
        <v>гр.4&gt;120%</v>
      </c>
    </row>
    <row r="43" spans="2:15" s="19" customFormat="1" x14ac:dyDescent="0.2">
      <c r="B43" s="36" t="s">
        <v>17</v>
      </c>
      <c r="C43" s="17" t="s">
        <v>2</v>
      </c>
      <c r="D43" s="17" t="s">
        <v>2</v>
      </c>
      <c r="E43" s="17" t="s">
        <v>2</v>
      </c>
      <c r="F43" s="17" t="s">
        <v>2</v>
      </c>
      <c r="G43" s="17" t="s">
        <v>2</v>
      </c>
      <c r="H43" s="18">
        <f>AVERAGE(H25,H32,H36,H37,H38,H40)</f>
        <v>2</v>
      </c>
      <c r="I43" s="18">
        <f>AVERAGE(I25,I32,I36,I37,I38,I40)</f>
        <v>2</v>
      </c>
      <c r="J43" s="17" t="s">
        <v>2</v>
      </c>
      <c r="K43" s="17" t="s">
        <v>2</v>
      </c>
      <c r="L43" s="17" t="s">
        <v>2</v>
      </c>
      <c r="M43" s="17" t="s">
        <v>2</v>
      </c>
      <c r="N43" s="17" t="s">
        <v>2</v>
      </c>
      <c r="O43" s="17" t="s">
        <v>2</v>
      </c>
    </row>
    <row r="44" spans="2:15" s="19" customFormat="1" ht="15" x14ac:dyDescent="0.2">
      <c r="B44" s="21" t="s">
        <v>33</v>
      </c>
      <c r="C44" s="23"/>
      <c r="D44" s="23"/>
      <c r="E44" s="23"/>
      <c r="F44" s="23"/>
      <c r="G44" s="23"/>
      <c r="H44" s="23"/>
      <c r="I44" s="23"/>
      <c r="J44" s="37"/>
      <c r="K44" s="37"/>
      <c r="L44" s="37"/>
      <c r="M44" s="37"/>
      <c r="N44" s="37"/>
      <c r="O44" s="38"/>
    </row>
    <row r="45" spans="2:15" s="19" customFormat="1" ht="25.5" x14ac:dyDescent="0.2">
      <c r="B45" s="39" t="s">
        <v>107</v>
      </c>
      <c r="C45" s="35" t="s">
        <v>2</v>
      </c>
      <c r="D45" s="35" t="s">
        <v>2</v>
      </c>
      <c r="E45" s="35" t="s">
        <v>2</v>
      </c>
      <c r="F45" s="35" t="s">
        <v>2</v>
      </c>
      <c r="G45" s="35" t="s">
        <v>2</v>
      </c>
      <c r="H45" s="27">
        <f>IFERROR(AVERAGE(H46:H47,H50),"-")</f>
        <v>0.5</v>
      </c>
      <c r="I45" s="27">
        <f>IFERROR(AVERAGE(I46:I47,I50),"-")</f>
        <v>0.5</v>
      </c>
      <c r="J45" s="40" t="s">
        <v>2</v>
      </c>
      <c r="K45" s="35" t="s">
        <v>2</v>
      </c>
      <c r="L45" s="40" t="s">
        <v>2</v>
      </c>
      <c r="M45" s="35" t="s">
        <v>2</v>
      </c>
      <c r="N45" s="40" t="s">
        <v>2</v>
      </c>
      <c r="O45" s="35" t="s">
        <v>2</v>
      </c>
    </row>
    <row r="46" spans="2:15" ht="38.25" outlineLevel="1" x14ac:dyDescent="0.2">
      <c r="B46" s="28" t="s">
        <v>108</v>
      </c>
      <c r="C46" s="29" t="s">
        <v>54</v>
      </c>
      <c r="D46" s="3"/>
      <c r="E46" s="3">
        <v>20</v>
      </c>
      <c r="F46" s="30">
        <f>IF(E46="-","-",IF(D46=E46,1,IF(D46=0,120%,E46/D46)))</f>
        <v>1.2</v>
      </c>
      <c r="G46" s="29" t="s">
        <v>12</v>
      </c>
      <c r="H46" s="31">
        <f t="shared" ref="H46" si="14">L46</f>
        <v>0.5</v>
      </c>
      <c r="I46" s="31">
        <f>IF(F46="-","-",IF(G46="прямая",IF(F46&gt;120%,J46,IF(F46&lt;80%,N46,L46)),IF(F46&lt;80%,J46,IF(F46&gt;120%,N46,L46))))</f>
        <v>0.5</v>
      </c>
      <c r="J46" s="41">
        <v>0.25</v>
      </c>
      <c r="K46" s="29" t="str">
        <f t="shared" ref="K46:K78" si="15">IF($G46="прямая","гр.4&gt;120%",IF($G46="обратная","гр.4&lt;80%","???"))</f>
        <v>гр.4&lt;80%</v>
      </c>
      <c r="L46" s="41">
        <v>0.5</v>
      </c>
      <c r="M46" s="29" t="s">
        <v>50</v>
      </c>
      <c r="N46" s="41">
        <v>0.75</v>
      </c>
      <c r="O46" s="29" t="str">
        <f t="shared" ref="O46:O78" si="16">IF($G46="прямая","гр.4&lt;80%",IF($G46="обратная","гр.4&gt;120%","???"))</f>
        <v>гр.4&gt;120%</v>
      </c>
    </row>
    <row r="47" spans="2:15" ht="25.5" outlineLevel="1" x14ac:dyDescent="0.2">
      <c r="B47" s="28" t="s">
        <v>109</v>
      </c>
      <c r="C47" s="29" t="s">
        <v>2</v>
      </c>
      <c r="D47" s="41" t="s">
        <v>2</v>
      </c>
      <c r="E47" s="41" t="s">
        <v>2</v>
      </c>
      <c r="F47" s="29" t="s">
        <v>2</v>
      </c>
      <c r="G47" s="29" t="s">
        <v>2</v>
      </c>
      <c r="H47" s="31">
        <f>IFERROR(AVERAGE(H48:H49),"-")</f>
        <v>0.5</v>
      </c>
      <c r="I47" s="31">
        <f>IFERROR(AVERAGE(I48:I49),"-")</f>
        <v>0.5</v>
      </c>
      <c r="J47" s="41" t="s">
        <v>2</v>
      </c>
      <c r="K47" s="29" t="s">
        <v>2</v>
      </c>
      <c r="L47" s="41" t="s">
        <v>2</v>
      </c>
      <c r="M47" s="29" t="s">
        <v>2</v>
      </c>
      <c r="N47" s="41" t="s">
        <v>2</v>
      </c>
      <c r="O47" s="29" t="s">
        <v>2</v>
      </c>
    </row>
    <row r="48" spans="2:15" ht="25.5" outlineLevel="1" x14ac:dyDescent="0.2">
      <c r="B48" s="28" t="s">
        <v>136</v>
      </c>
      <c r="C48" s="29" t="s">
        <v>54</v>
      </c>
      <c r="D48" s="3"/>
      <c r="E48" s="3">
        <v>29.6</v>
      </c>
      <c r="F48" s="30">
        <f t="shared" ref="F48:F51" si="17">IF(E48="-","-",IF(D48=E48,1,IF(D48=0,120%,E48/D48)))</f>
        <v>1.2</v>
      </c>
      <c r="G48" s="29" t="s">
        <v>12</v>
      </c>
      <c r="H48" s="31">
        <f t="shared" ref="H48:H51" si="18">L48</f>
        <v>0.5</v>
      </c>
      <c r="I48" s="31">
        <f t="shared" ref="I48:I51" si="19">IF(F48="-","-",IF(G48="прямая",IF(F48&gt;120%,J48,IF(F48&lt;80%,N48,L48)),IF(F48&lt;80%,J48,IF(F48&gt;120%,N48,L48))))</f>
        <v>0.5</v>
      </c>
      <c r="J48" s="41">
        <v>0.25</v>
      </c>
      <c r="K48" s="29" t="str">
        <f t="shared" si="15"/>
        <v>гр.4&lt;80%</v>
      </c>
      <c r="L48" s="41">
        <v>0.5</v>
      </c>
      <c r="M48" s="29" t="s">
        <v>50</v>
      </c>
      <c r="N48" s="41">
        <v>0.75</v>
      </c>
      <c r="O48" s="29" t="str">
        <f t="shared" si="16"/>
        <v>гр.4&gt;120%</v>
      </c>
    </row>
    <row r="49" spans="2:15" outlineLevel="1" x14ac:dyDescent="0.2">
      <c r="B49" s="28" t="s">
        <v>137</v>
      </c>
      <c r="C49" s="29" t="s">
        <v>54</v>
      </c>
      <c r="D49" s="3"/>
      <c r="E49" s="3">
        <v>29.6</v>
      </c>
      <c r="F49" s="30">
        <f t="shared" si="17"/>
        <v>1.2</v>
      </c>
      <c r="G49" s="29" t="s">
        <v>12</v>
      </c>
      <c r="H49" s="31">
        <f t="shared" si="18"/>
        <v>0.5</v>
      </c>
      <c r="I49" s="31">
        <f t="shared" si="19"/>
        <v>0.5</v>
      </c>
      <c r="J49" s="41">
        <v>0.25</v>
      </c>
      <c r="K49" s="29" t="str">
        <f t="shared" si="15"/>
        <v>гр.4&lt;80%</v>
      </c>
      <c r="L49" s="41">
        <v>0.5</v>
      </c>
      <c r="M49" s="29" t="s">
        <v>50</v>
      </c>
      <c r="N49" s="41">
        <v>0.75</v>
      </c>
      <c r="O49" s="29" t="str">
        <f t="shared" si="16"/>
        <v>гр.4&gt;120%</v>
      </c>
    </row>
    <row r="50" spans="2:15" ht="51" outlineLevel="1" x14ac:dyDescent="0.2">
      <c r="B50" s="28" t="s">
        <v>110</v>
      </c>
      <c r="C50" s="29" t="s">
        <v>18</v>
      </c>
      <c r="D50" s="2"/>
      <c r="E50" s="2">
        <v>0</v>
      </c>
      <c r="F50" s="30">
        <f t="shared" si="17"/>
        <v>1</v>
      </c>
      <c r="G50" s="29" t="s">
        <v>12</v>
      </c>
      <c r="H50" s="31">
        <f t="shared" si="18"/>
        <v>0.5</v>
      </c>
      <c r="I50" s="31">
        <f t="shared" si="19"/>
        <v>0.5</v>
      </c>
      <c r="J50" s="41">
        <v>0.25</v>
      </c>
      <c r="K50" s="29" t="str">
        <f t="shared" si="15"/>
        <v>гр.4&lt;80%</v>
      </c>
      <c r="L50" s="41">
        <v>0.5</v>
      </c>
      <c r="M50" s="29" t="s">
        <v>50</v>
      </c>
      <c r="N50" s="41">
        <v>0.75</v>
      </c>
      <c r="O50" s="29" t="str">
        <f t="shared" si="16"/>
        <v>гр.4&gt;120%</v>
      </c>
    </row>
    <row r="51" spans="2:15" s="19" customFormat="1" ht="25.5" x14ac:dyDescent="0.2">
      <c r="B51" s="39" t="s">
        <v>111</v>
      </c>
      <c r="C51" s="35" t="s">
        <v>2</v>
      </c>
      <c r="D51" s="34">
        <f>D52</f>
        <v>0</v>
      </c>
      <c r="E51" s="34">
        <f>E52</f>
        <v>2.4E-2</v>
      </c>
      <c r="F51" s="33">
        <f t="shared" si="17"/>
        <v>1.2</v>
      </c>
      <c r="G51" s="35" t="s">
        <v>12</v>
      </c>
      <c r="H51" s="27">
        <f t="shared" si="18"/>
        <v>0.5</v>
      </c>
      <c r="I51" s="27">
        <f t="shared" si="19"/>
        <v>0.5</v>
      </c>
      <c r="J51" s="40">
        <v>0.25</v>
      </c>
      <c r="K51" s="35" t="str">
        <f t="shared" si="15"/>
        <v>гр.4&lt;80%</v>
      </c>
      <c r="L51" s="40">
        <v>0.5</v>
      </c>
      <c r="M51" s="35" t="s">
        <v>50</v>
      </c>
      <c r="N51" s="40">
        <v>0.75</v>
      </c>
      <c r="O51" s="35" t="str">
        <f t="shared" si="16"/>
        <v>гр.4&gt;120%</v>
      </c>
    </row>
    <row r="52" spans="2:15" ht="25.5" outlineLevel="1" x14ac:dyDescent="0.2">
      <c r="B52" s="28" t="s">
        <v>112</v>
      </c>
      <c r="C52" s="29" t="s">
        <v>18</v>
      </c>
      <c r="D52" s="2"/>
      <c r="E52" s="2">
        <v>2.4E-2</v>
      </c>
      <c r="F52" s="26" t="s">
        <v>2</v>
      </c>
      <c r="G52" s="26" t="s">
        <v>2</v>
      </c>
      <c r="H52" s="26" t="s">
        <v>2</v>
      </c>
      <c r="I52" s="26" t="s">
        <v>2</v>
      </c>
      <c r="J52" s="26" t="s">
        <v>2</v>
      </c>
      <c r="K52" s="26" t="s">
        <v>2</v>
      </c>
      <c r="L52" s="26" t="s">
        <v>2</v>
      </c>
      <c r="M52" s="26" t="s">
        <v>2</v>
      </c>
      <c r="N52" s="26" t="s">
        <v>2</v>
      </c>
      <c r="O52" s="26" t="s">
        <v>2</v>
      </c>
    </row>
    <row r="53" spans="2:15" s="19" customFormat="1" ht="25.5" x14ac:dyDescent="0.2">
      <c r="B53" s="39" t="s">
        <v>113</v>
      </c>
      <c r="C53" s="26" t="s">
        <v>2</v>
      </c>
      <c r="D53" s="26" t="s">
        <v>2</v>
      </c>
      <c r="E53" s="26" t="s">
        <v>2</v>
      </c>
      <c r="F53" s="42" t="s">
        <v>2</v>
      </c>
      <c r="G53" s="26" t="s">
        <v>2</v>
      </c>
      <c r="H53" s="27">
        <f>AVERAGE(H54,H55)</f>
        <v>0.5</v>
      </c>
      <c r="I53" s="27">
        <f>AVERAGE(I54,I55)</f>
        <v>0.5</v>
      </c>
      <c r="J53" s="40" t="s">
        <v>2</v>
      </c>
      <c r="K53" s="35" t="s">
        <v>2</v>
      </c>
      <c r="L53" s="40" t="s">
        <v>2</v>
      </c>
      <c r="M53" s="35" t="s">
        <v>2</v>
      </c>
      <c r="N53" s="40" t="s">
        <v>2</v>
      </c>
      <c r="O53" s="35" t="s">
        <v>2</v>
      </c>
    </row>
    <row r="54" spans="2:15" ht="25.5" outlineLevel="1" x14ac:dyDescent="0.2">
      <c r="B54" s="28" t="s">
        <v>114</v>
      </c>
      <c r="C54" s="29" t="s">
        <v>49</v>
      </c>
      <c r="D54" s="3"/>
      <c r="E54" s="3">
        <v>1</v>
      </c>
      <c r="F54" s="30">
        <f t="shared" ref="F54:F56" si="20">IF(E54="-","-",IF(D54=E54,1,IF(D54=0,120%,E54/D54)))</f>
        <v>1.2</v>
      </c>
      <c r="G54" s="29" t="s">
        <v>4</v>
      </c>
      <c r="H54" s="31">
        <f t="shared" ref="H54:H56" si="21">L54</f>
        <v>0.5</v>
      </c>
      <c r="I54" s="31">
        <f t="shared" ref="I54:I56" si="22">IF(F54="-","-",IF(G54="прямая",IF(F54&gt;120%,J54,IF(F54&lt;80%,N54,L54)),IF(F54&lt;80%,J54,IF(F54&gt;120%,N54,L54))))</f>
        <v>0.5</v>
      </c>
      <c r="J54" s="41">
        <v>0.25</v>
      </c>
      <c r="K54" s="29" t="str">
        <f t="shared" si="15"/>
        <v>гр.4&gt;120%</v>
      </c>
      <c r="L54" s="41">
        <v>0.5</v>
      </c>
      <c r="M54" s="29" t="s">
        <v>50</v>
      </c>
      <c r="N54" s="41">
        <v>0.75</v>
      </c>
      <c r="O54" s="29" t="str">
        <f t="shared" si="16"/>
        <v>гр.4&lt;80%</v>
      </c>
    </row>
    <row r="55" spans="2:15" ht="51" outlineLevel="1" x14ac:dyDescent="0.2">
      <c r="B55" s="28" t="s">
        <v>115</v>
      </c>
      <c r="C55" s="29" t="s">
        <v>18</v>
      </c>
      <c r="D55" s="2"/>
      <c r="E55" s="2">
        <v>0.14000000000000001</v>
      </c>
      <c r="F55" s="43">
        <f t="shared" si="20"/>
        <v>1.2</v>
      </c>
      <c r="G55" s="29" t="s">
        <v>12</v>
      </c>
      <c r="H55" s="31">
        <f t="shared" si="21"/>
        <v>0.5</v>
      </c>
      <c r="I55" s="31">
        <f t="shared" si="22"/>
        <v>0.5</v>
      </c>
      <c r="J55" s="41">
        <v>0.25</v>
      </c>
      <c r="K55" s="29" t="str">
        <f t="shared" si="15"/>
        <v>гр.4&lt;80%</v>
      </c>
      <c r="L55" s="41">
        <v>0.5</v>
      </c>
      <c r="M55" s="29" t="s">
        <v>50</v>
      </c>
      <c r="N55" s="41">
        <v>0.75</v>
      </c>
      <c r="O55" s="29" t="str">
        <f t="shared" si="16"/>
        <v>гр.4&gt;120%</v>
      </c>
    </row>
    <row r="56" spans="2:15" s="19" customFormat="1" ht="25.5" x14ac:dyDescent="0.2">
      <c r="B56" s="39" t="s">
        <v>116</v>
      </c>
      <c r="C56" s="26" t="s">
        <v>18</v>
      </c>
      <c r="D56" s="34">
        <f>D57</f>
        <v>0</v>
      </c>
      <c r="E56" s="34">
        <f>E57</f>
        <v>0</v>
      </c>
      <c r="F56" s="33">
        <f t="shared" si="20"/>
        <v>1</v>
      </c>
      <c r="G56" s="35" t="s">
        <v>12</v>
      </c>
      <c r="H56" s="27">
        <f t="shared" si="21"/>
        <v>0.2</v>
      </c>
      <c r="I56" s="27">
        <f t="shared" si="22"/>
        <v>0.2</v>
      </c>
      <c r="J56" s="44">
        <v>0.1</v>
      </c>
      <c r="K56" s="26" t="str">
        <f t="shared" si="15"/>
        <v>гр.4&lt;80%</v>
      </c>
      <c r="L56" s="44">
        <v>0.2</v>
      </c>
      <c r="M56" s="26" t="s">
        <v>50</v>
      </c>
      <c r="N56" s="44">
        <v>0.3</v>
      </c>
      <c r="O56" s="26" t="str">
        <f t="shared" si="16"/>
        <v>гр.4&gt;120%</v>
      </c>
    </row>
    <row r="57" spans="2:15" ht="38.25" outlineLevel="1" x14ac:dyDescent="0.2">
      <c r="B57" s="28" t="s">
        <v>117</v>
      </c>
      <c r="C57" s="29" t="s">
        <v>18</v>
      </c>
      <c r="D57" s="2"/>
      <c r="E57" s="2">
        <v>0</v>
      </c>
      <c r="F57" s="26" t="s">
        <v>2</v>
      </c>
      <c r="G57" s="26" t="s">
        <v>2</v>
      </c>
      <c r="H57" s="26" t="s">
        <v>2</v>
      </c>
      <c r="I57" s="26" t="s">
        <v>2</v>
      </c>
      <c r="J57" s="26" t="s">
        <v>2</v>
      </c>
      <c r="K57" s="26" t="s">
        <v>2</v>
      </c>
      <c r="L57" s="26" t="s">
        <v>2</v>
      </c>
      <c r="M57" s="26" t="s">
        <v>2</v>
      </c>
      <c r="N57" s="26" t="s">
        <v>2</v>
      </c>
      <c r="O57" s="26" t="s">
        <v>2</v>
      </c>
    </row>
    <row r="58" spans="2:15" s="19" customFormat="1" x14ac:dyDescent="0.2">
      <c r="B58" s="36" t="s">
        <v>118</v>
      </c>
      <c r="C58" s="17" t="s">
        <v>2</v>
      </c>
      <c r="D58" s="17" t="s">
        <v>2</v>
      </c>
      <c r="E58" s="17" t="s">
        <v>2</v>
      </c>
      <c r="F58" s="17" t="s">
        <v>2</v>
      </c>
      <c r="G58" s="17" t="s">
        <v>2</v>
      </c>
      <c r="H58" s="18">
        <f>AVERAGE(H45,H51,H53,H56)</f>
        <v>0.42499999999999999</v>
      </c>
      <c r="I58" s="18">
        <f>AVERAGE(I45,I51,I53,I56)</f>
        <v>0.42499999999999999</v>
      </c>
      <c r="J58" s="17" t="s">
        <v>2</v>
      </c>
      <c r="K58" s="17" t="s">
        <v>2</v>
      </c>
      <c r="L58" s="17" t="s">
        <v>2</v>
      </c>
      <c r="M58" s="17" t="s">
        <v>2</v>
      </c>
      <c r="N58" s="17" t="s">
        <v>2</v>
      </c>
      <c r="O58" s="17" t="s">
        <v>2</v>
      </c>
    </row>
    <row r="59" spans="2:15" s="19" customFormat="1" ht="15" x14ac:dyDescent="0.2">
      <c r="B59" s="21" t="s">
        <v>34</v>
      </c>
      <c r="C59" s="23"/>
      <c r="D59" s="23"/>
      <c r="E59" s="23"/>
      <c r="F59" s="23"/>
      <c r="G59" s="23"/>
      <c r="H59" s="23"/>
      <c r="I59" s="23"/>
      <c r="J59" s="37" t="s">
        <v>2</v>
      </c>
      <c r="K59" s="37" t="s">
        <v>2</v>
      </c>
      <c r="L59" s="37" t="s">
        <v>2</v>
      </c>
      <c r="M59" s="37" t="s">
        <v>2</v>
      </c>
      <c r="N59" s="37" t="s">
        <v>2</v>
      </c>
      <c r="O59" s="38" t="s">
        <v>2</v>
      </c>
    </row>
    <row r="60" spans="2:15" s="19" customFormat="1" ht="25.5" x14ac:dyDescent="0.2">
      <c r="B60" s="25" t="s">
        <v>19</v>
      </c>
      <c r="C60" s="26" t="s">
        <v>49</v>
      </c>
      <c r="D60" s="4"/>
      <c r="E60" s="4">
        <v>1</v>
      </c>
      <c r="F60" s="33">
        <f t="shared" ref="F60" si="23">IF(E60="-","-",IF(D60=E60,1,IF(D60=0,120%,E60/D60)))</f>
        <v>1.2</v>
      </c>
      <c r="G60" s="26" t="s">
        <v>4</v>
      </c>
      <c r="H60" s="27">
        <f t="shared" ref="H60" si="24">L60</f>
        <v>2</v>
      </c>
      <c r="I60" s="27">
        <f>IF(F60="-","-",IF(G60="прямая",IF(F60&gt;120%,J60,IF(F60&lt;80%,N60,L60)),IF(F60&lt;80%,J60,IF(F60&gt;120%,N60,L60))))</f>
        <v>2</v>
      </c>
      <c r="J60" s="26">
        <v>1</v>
      </c>
      <c r="K60" s="26" t="str">
        <f t="shared" si="15"/>
        <v>гр.4&gt;120%</v>
      </c>
      <c r="L60" s="26">
        <v>2</v>
      </c>
      <c r="M60" s="26" t="s">
        <v>50</v>
      </c>
      <c r="N60" s="26">
        <v>3</v>
      </c>
      <c r="O60" s="26" t="str">
        <f t="shared" si="16"/>
        <v>гр.4&lt;80%</v>
      </c>
    </row>
    <row r="61" spans="2:15" s="19" customFormat="1" x14ac:dyDescent="0.2">
      <c r="B61" s="39" t="s">
        <v>20</v>
      </c>
      <c r="C61" s="26" t="s">
        <v>2</v>
      </c>
      <c r="D61" s="26" t="s">
        <v>2</v>
      </c>
      <c r="E61" s="26" t="s">
        <v>2</v>
      </c>
      <c r="F61" s="42" t="s">
        <v>2</v>
      </c>
      <c r="G61" s="26" t="s">
        <v>2</v>
      </c>
      <c r="H61" s="27">
        <f>AVERAGE(H62:H67)</f>
        <v>2</v>
      </c>
      <c r="I61" s="27">
        <f>AVERAGE(I62:I67)</f>
        <v>2</v>
      </c>
      <c r="J61" s="26" t="s">
        <v>2</v>
      </c>
      <c r="K61" s="26" t="s">
        <v>2</v>
      </c>
      <c r="L61" s="26" t="s">
        <v>2</v>
      </c>
      <c r="M61" s="26" t="s">
        <v>2</v>
      </c>
      <c r="N61" s="26" t="s">
        <v>2</v>
      </c>
      <c r="O61" s="26" t="s">
        <v>2</v>
      </c>
    </row>
    <row r="62" spans="2:15" ht="38.25" outlineLevel="1" x14ac:dyDescent="0.2">
      <c r="B62" s="28" t="s">
        <v>21</v>
      </c>
      <c r="C62" s="29" t="s">
        <v>18</v>
      </c>
      <c r="D62" s="2"/>
      <c r="E62" s="2">
        <f>1.4/50</f>
        <v>2.7999999999999997E-2</v>
      </c>
      <c r="F62" s="30">
        <f t="shared" ref="F62" si="25">IF(E62="-","-",IF(D62=E62,1,IF(D62=0,120%,E62/D62)))</f>
        <v>1.2</v>
      </c>
      <c r="G62" s="29" t="s">
        <v>12</v>
      </c>
      <c r="H62" s="31">
        <f t="shared" ref="H62:H67" si="26">L62</f>
        <v>2</v>
      </c>
      <c r="I62" s="31">
        <f t="shared" ref="I62:I67" si="27">IF(F62="-","-",IF(G62="прямая",IF(F62&gt;120%,J62,IF(F62&lt;80%,N62,L62)),IF(F62&lt;80%,J62,IF(F62&gt;120%,N62,L62))))</f>
        <v>2</v>
      </c>
      <c r="J62" s="29">
        <v>1</v>
      </c>
      <c r="K62" s="29" t="str">
        <f t="shared" si="15"/>
        <v>гр.4&lt;80%</v>
      </c>
      <c r="L62" s="29">
        <v>2</v>
      </c>
      <c r="M62" s="29" t="s">
        <v>50</v>
      </c>
      <c r="N62" s="29">
        <v>3</v>
      </c>
      <c r="O62" s="29" t="str">
        <f t="shared" si="16"/>
        <v>гр.4&gt;120%</v>
      </c>
    </row>
    <row r="63" spans="2:15" ht="38.25" outlineLevel="1" x14ac:dyDescent="0.2">
      <c r="B63" s="28" t="s">
        <v>22</v>
      </c>
      <c r="C63" s="29" t="s">
        <v>18</v>
      </c>
      <c r="D63" s="2"/>
      <c r="E63" s="2">
        <f>0.9/50</f>
        <v>1.8000000000000002E-2</v>
      </c>
      <c r="F63" s="30">
        <f t="shared" ref="F63:F67" si="28">IF(E63="-","-",IF(D63=E63,1,IF(D63=0,120%,E63/D63)))</f>
        <v>1.2</v>
      </c>
      <c r="G63" s="29" t="s">
        <v>4</v>
      </c>
      <c r="H63" s="31">
        <f t="shared" si="26"/>
        <v>2</v>
      </c>
      <c r="I63" s="31">
        <f t="shared" si="27"/>
        <v>2</v>
      </c>
      <c r="J63" s="29">
        <v>1</v>
      </c>
      <c r="K63" s="29" t="str">
        <f t="shared" si="15"/>
        <v>гр.4&gt;120%</v>
      </c>
      <c r="L63" s="29">
        <v>2</v>
      </c>
      <c r="M63" s="29" t="s">
        <v>50</v>
      </c>
      <c r="N63" s="29">
        <v>3</v>
      </c>
      <c r="O63" s="29" t="str">
        <f t="shared" si="16"/>
        <v>гр.4&lt;80%</v>
      </c>
    </row>
    <row r="64" spans="2:15" ht="51" outlineLevel="1" x14ac:dyDescent="0.2">
      <c r="B64" s="28" t="s">
        <v>23</v>
      </c>
      <c r="C64" s="29" t="s">
        <v>18</v>
      </c>
      <c r="D64" s="2"/>
      <c r="E64" s="2">
        <f>0.4/50</f>
        <v>8.0000000000000002E-3</v>
      </c>
      <c r="F64" s="30">
        <f t="shared" si="28"/>
        <v>1.2</v>
      </c>
      <c r="G64" s="29" t="s">
        <v>12</v>
      </c>
      <c r="H64" s="31">
        <f t="shared" si="26"/>
        <v>2</v>
      </c>
      <c r="I64" s="31">
        <f t="shared" si="27"/>
        <v>2</v>
      </c>
      <c r="J64" s="29">
        <v>1</v>
      </c>
      <c r="K64" s="29" t="str">
        <f t="shared" si="15"/>
        <v>гр.4&lt;80%</v>
      </c>
      <c r="L64" s="29">
        <v>2</v>
      </c>
      <c r="M64" s="29" t="s">
        <v>50</v>
      </c>
      <c r="N64" s="29">
        <v>3</v>
      </c>
      <c r="O64" s="29" t="str">
        <f t="shared" si="16"/>
        <v>гр.4&gt;120%</v>
      </c>
    </row>
    <row r="65" spans="2:15" ht="51" outlineLevel="1" x14ac:dyDescent="0.2">
      <c r="B65" s="28" t="s">
        <v>24</v>
      </c>
      <c r="C65" s="29" t="s">
        <v>18</v>
      </c>
      <c r="D65" s="2"/>
      <c r="E65" s="2">
        <f>0.15/50</f>
        <v>3.0000000000000001E-3</v>
      </c>
      <c r="F65" s="30">
        <f t="shared" si="28"/>
        <v>1.2</v>
      </c>
      <c r="G65" s="29" t="s">
        <v>12</v>
      </c>
      <c r="H65" s="31">
        <f t="shared" si="26"/>
        <v>2</v>
      </c>
      <c r="I65" s="31">
        <f t="shared" si="27"/>
        <v>2</v>
      </c>
      <c r="J65" s="29">
        <v>1</v>
      </c>
      <c r="K65" s="29" t="str">
        <f t="shared" si="15"/>
        <v>гр.4&lt;80%</v>
      </c>
      <c r="L65" s="29">
        <v>2</v>
      </c>
      <c r="M65" s="29" t="s">
        <v>50</v>
      </c>
      <c r="N65" s="29">
        <v>3</v>
      </c>
      <c r="O65" s="29" t="str">
        <f t="shared" si="16"/>
        <v>гр.4&gt;120%</v>
      </c>
    </row>
    <row r="66" spans="2:15" ht="38.25" outlineLevel="1" x14ac:dyDescent="0.2">
      <c r="B66" s="28" t="s">
        <v>25</v>
      </c>
      <c r="C66" s="29" t="s">
        <v>18</v>
      </c>
      <c r="D66" s="2"/>
      <c r="E66" s="2">
        <v>0</v>
      </c>
      <c r="F66" s="30">
        <f t="shared" si="28"/>
        <v>1</v>
      </c>
      <c r="G66" s="29" t="s">
        <v>4</v>
      </c>
      <c r="H66" s="31">
        <f t="shared" si="26"/>
        <v>2</v>
      </c>
      <c r="I66" s="31">
        <f t="shared" si="27"/>
        <v>2</v>
      </c>
      <c r="J66" s="29">
        <v>1</v>
      </c>
      <c r="K66" s="29" t="str">
        <f t="shared" si="15"/>
        <v>гр.4&gt;120%</v>
      </c>
      <c r="L66" s="29">
        <v>2</v>
      </c>
      <c r="M66" s="29" t="s">
        <v>50</v>
      </c>
      <c r="N66" s="29">
        <v>3</v>
      </c>
      <c r="O66" s="29" t="str">
        <f t="shared" si="16"/>
        <v>гр.4&lt;80%</v>
      </c>
    </row>
    <row r="67" spans="2:15" ht="25.5" outlineLevel="1" x14ac:dyDescent="0.2">
      <c r="B67" s="28" t="s">
        <v>55</v>
      </c>
      <c r="C67" s="29" t="s">
        <v>43</v>
      </c>
      <c r="D67" s="3"/>
      <c r="E67" s="3">
        <v>0</v>
      </c>
      <c r="F67" s="30">
        <f t="shared" si="28"/>
        <v>1</v>
      </c>
      <c r="G67" s="29" t="s">
        <v>4</v>
      </c>
      <c r="H67" s="31">
        <f t="shared" si="26"/>
        <v>2</v>
      </c>
      <c r="I67" s="31">
        <f t="shared" si="27"/>
        <v>2</v>
      </c>
      <c r="J67" s="29">
        <v>1</v>
      </c>
      <c r="K67" s="29" t="str">
        <f t="shared" si="15"/>
        <v>гр.4&gt;120%</v>
      </c>
      <c r="L67" s="29">
        <v>2</v>
      </c>
      <c r="M67" s="29" t="s">
        <v>50</v>
      </c>
      <c r="N67" s="29">
        <v>3</v>
      </c>
      <c r="O67" s="29" t="str">
        <f t="shared" si="16"/>
        <v>гр.4&lt;80%</v>
      </c>
    </row>
    <row r="68" spans="2:15" s="19" customFormat="1" x14ac:dyDescent="0.2">
      <c r="B68" s="39" t="s">
        <v>26</v>
      </c>
      <c r="C68" s="26" t="s">
        <v>2</v>
      </c>
      <c r="D68" s="26" t="s">
        <v>2</v>
      </c>
      <c r="E68" s="26" t="s">
        <v>2</v>
      </c>
      <c r="F68" s="42" t="s">
        <v>2</v>
      </c>
      <c r="G68" s="26" t="s">
        <v>2</v>
      </c>
      <c r="H68" s="27">
        <f>AVERAGE(H69:H70)</f>
        <v>2</v>
      </c>
      <c r="I68" s="27">
        <f>AVERAGE(I69:I70)</f>
        <v>2</v>
      </c>
      <c r="J68" s="26" t="s">
        <v>2</v>
      </c>
      <c r="K68" s="26" t="s">
        <v>2</v>
      </c>
      <c r="L68" s="26" t="s">
        <v>2</v>
      </c>
      <c r="M68" s="26" t="s">
        <v>2</v>
      </c>
      <c r="N68" s="26" t="s">
        <v>2</v>
      </c>
      <c r="O68" s="26" t="s">
        <v>2</v>
      </c>
    </row>
    <row r="69" spans="2:15" ht="25.5" outlineLevel="1" x14ac:dyDescent="0.2">
      <c r="B69" s="28" t="s">
        <v>56</v>
      </c>
      <c r="C69" s="29" t="s">
        <v>54</v>
      </c>
      <c r="D69" s="3"/>
      <c r="E69" s="3">
        <v>20</v>
      </c>
      <c r="F69" s="30">
        <f>IF(E69="-","-",IF(D69=E69,1,IF(D69=0,120%,E69/D69)))</f>
        <v>1.2</v>
      </c>
      <c r="G69" s="29" t="s">
        <v>12</v>
      </c>
      <c r="H69" s="31">
        <f t="shared" ref="H69" si="29">L69</f>
        <v>2</v>
      </c>
      <c r="I69" s="31">
        <f>IF(F69="-","-",IF(G69="прямая",IF(F69&gt;120%,J69,IF(F69&lt;80%,N69,L69)),IF(F69&lt;80%,J69,IF(F69&gt;120%,N69,L69))))</f>
        <v>2</v>
      </c>
      <c r="J69" s="29">
        <v>1</v>
      </c>
      <c r="K69" s="29" t="str">
        <f t="shared" si="15"/>
        <v>гр.4&lt;80%</v>
      </c>
      <c r="L69" s="29">
        <v>2</v>
      </c>
      <c r="M69" s="29" t="s">
        <v>50</v>
      </c>
      <c r="N69" s="29">
        <v>3</v>
      </c>
      <c r="O69" s="29" t="str">
        <f t="shared" si="16"/>
        <v>гр.4&gt;120%</v>
      </c>
    </row>
    <row r="70" spans="2:15" ht="25.5" outlineLevel="1" x14ac:dyDescent="0.2">
      <c r="B70" s="28" t="s">
        <v>27</v>
      </c>
      <c r="C70" s="29" t="s">
        <v>2</v>
      </c>
      <c r="D70" s="29" t="s">
        <v>2</v>
      </c>
      <c r="E70" s="29" t="s">
        <v>2</v>
      </c>
      <c r="F70" s="29" t="s">
        <v>2</v>
      </c>
      <c r="G70" s="29" t="s">
        <v>2</v>
      </c>
      <c r="H70" s="31">
        <f>AVERAGE(H71:H73)</f>
        <v>2</v>
      </c>
      <c r="I70" s="31">
        <f>AVERAGE(I71:I73)</f>
        <v>2</v>
      </c>
      <c r="J70" s="29" t="s">
        <v>2</v>
      </c>
      <c r="K70" s="29" t="s">
        <v>2</v>
      </c>
      <c r="L70" s="29" t="s">
        <v>2</v>
      </c>
      <c r="M70" s="29" t="s">
        <v>2</v>
      </c>
      <c r="N70" s="29" t="s">
        <v>2</v>
      </c>
      <c r="O70" s="29" t="s">
        <v>2</v>
      </c>
    </row>
    <row r="71" spans="2:15" outlineLevel="1" x14ac:dyDescent="0.2">
      <c r="B71" s="28" t="s">
        <v>138</v>
      </c>
      <c r="C71" s="29" t="s">
        <v>57</v>
      </c>
      <c r="D71" s="3"/>
      <c r="E71" s="3">
        <v>0</v>
      </c>
      <c r="F71" s="30">
        <f t="shared" ref="F71:F74" si="30">IF(E71="-","-",IF(D71=E71,1,IF(D71=0,120%,E71/D71)))</f>
        <v>1</v>
      </c>
      <c r="G71" s="29" t="s">
        <v>4</v>
      </c>
      <c r="H71" s="31">
        <f t="shared" ref="H71:H74" si="31">L71</f>
        <v>2</v>
      </c>
      <c r="I71" s="31">
        <f t="shared" ref="I71:I74" si="32">IF(F71="-","-",IF(G71="прямая",IF(F71&gt;120%,J71,IF(F71&lt;80%,N71,L71)),IF(F71&lt;80%,J71,IF(F71&gt;120%,N71,L71))))</f>
        <v>2</v>
      </c>
      <c r="J71" s="29">
        <v>1</v>
      </c>
      <c r="K71" s="29" t="str">
        <f t="shared" si="15"/>
        <v>гр.4&gt;120%</v>
      </c>
      <c r="L71" s="29">
        <v>2</v>
      </c>
      <c r="M71" s="29" t="s">
        <v>50</v>
      </c>
      <c r="N71" s="29">
        <v>3</v>
      </c>
      <c r="O71" s="29" t="str">
        <f t="shared" si="16"/>
        <v>гр.4&lt;80%</v>
      </c>
    </row>
    <row r="72" spans="2:15" outlineLevel="1" x14ac:dyDescent="0.2">
      <c r="B72" s="28" t="s">
        <v>139</v>
      </c>
      <c r="C72" s="29" t="s">
        <v>57</v>
      </c>
      <c r="D72" s="3"/>
      <c r="E72" s="3">
        <v>0</v>
      </c>
      <c r="F72" s="30">
        <f t="shared" si="30"/>
        <v>1</v>
      </c>
      <c r="G72" s="29" t="s">
        <v>4</v>
      </c>
      <c r="H72" s="31">
        <f t="shared" si="31"/>
        <v>2</v>
      </c>
      <c r="I72" s="31">
        <f t="shared" si="32"/>
        <v>2</v>
      </c>
      <c r="J72" s="29">
        <v>1</v>
      </c>
      <c r="K72" s="29" t="str">
        <f t="shared" si="15"/>
        <v>гр.4&gt;120%</v>
      </c>
      <c r="L72" s="29">
        <v>2</v>
      </c>
      <c r="M72" s="29" t="s">
        <v>50</v>
      </c>
      <c r="N72" s="29">
        <v>3</v>
      </c>
      <c r="O72" s="29" t="str">
        <f t="shared" si="16"/>
        <v>гр.4&lt;80%</v>
      </c>
    </row>
    <row r="73" spans="2:15" outlineLevel="1" x14ac:dyDescent="0.2">
      <c r="B73" s="15" t="s">
        <v>140</v>
      </c>
      <c r="C73" s="29" t="s">
        <v>57</v>
      </c>
      <c r="D73" s="3"/>
      <c r="E73" s="3">
        <v>0</v>
      </c>
      <c r="F73" s="30">
        <f t="shared" si="30"/>
        <v>1</v>
      </c>
      <c r="G73" s="29" t="s">
        <v>4</v>
      </c>
      <c r="H73" s="31">
        <f t="shared" si="31"/>
        <v>2</v>
      </c>
      <c r="I73" s="31">
        <f t="shared" si="32"/>
        <v>2</v>
      </c>
      <c r="J73" s="29">
        <v>1</v>
      </c>
      <c r="K73" s="29" t="str">
        <f t="shared" si="15"/>
        <v>гр.4&gt;120%</v>
      </c>
      <c r="L73" s="29">
        <v>2</v>
      </c>
      <c r="M73" s="29" t="s">
        <v>50</v>
      </c>
      <c r="N73" s="29">
        <v>3</v>
      </c>
      <c r="O73" s="29" t="str">
        <f t="shared" si="16"/>
        <v>гр.4&lt;80%</v>
      </c>
    </row>
    <row r="74" spans="2:15" s="19" customFormat="1" x14ac:dyDescent="0.2">
      <c r="B74" s="39" t="s">
        <v>28</v>
      </c>
      <c r="C74" s="26" t="s">
        <v>57</v>
      </c>
      <c r="D74" s="27">
        <f>D75</f>
        <v>0</v>
      </c>
      <c r="E74" s="27">
        <f>E75</f>
        <v>0</v>
      </c>
      <c r="F74" s="33">
        <f t="shared" si="30"/>
        <v>1</v>
      </c>
      <c r="G74" s="35" t="s">
        <v>12</v>
      </c>
      <c r="H74" s="27">
        <f t="shared" si="31"/>
        <v>2</v>
      </c>
      <c r="I74" s="27">
        <f t="shared" si="32"/>
        <v>2</v>
      </c>
      <c r="J74" s="29">
        <v>1</v>
      </c>
      <c r="K74" s="29" t="str">
        <f t="shared" si="15"/>
        <v>гр.4&lt;80%</v>
      </c>
      <c r="L74" s="29">
        <v>2</v>
      </c>
      <c r="M74" s="29" t="s">
        <v>50</v>
      </c>
      <c r="N74" s="29">
        <v>3</v>
      </c>
      <c r="O74" s="29" t="str">
        <f t="shared" si="16"/>
        <v>гр.4&gt;120%</v>
      </c>
    </row>
    <row r="75" spans="2:15" ht="25.5" outlineLevel="1" x14ac:dyDescent="0.2">
      <c r="B75" s="28" t="s">
        <v>29</v>
      </c>
      <c r="C75" s="29" t="s">
        <v>57</v>
      </c>
      <c r="D75" s="3"/>
      <c r="E75" s="3">
        <v>0</v>
      </c>
      <c r="F75" s="26" t="s">
        <v>2</v>
      </c>
      <c r="G75" s="26" t="s">
        <v>2</v>
      </c>
      <c r="H75" s="26" t="s">
        <v>2</v>
      </c>
      <c r="I75" s="26" t="s">
        <v>2</v>
      </c>
      <c r="J75" s="26" t="s">
        <v>2</v>
      </c>
      <c r="K75" s="26" t="s">
        <v>2</v>
      </c>
      <c r="L75" s="26" t="s">
        <v>2</v>
      </c>
      <c r="M75" s="26" t="s">
        <v>2</v>
      </c>
      <c r="N75" s="26" t="s">
        <v>2</v>
      </c>
      <c r="O75" s="26" t="s">
        <v>2</v>
      </c>
    </row>
    <row r="76" spans="2:15" s="19" customFormat="1" ht="38.25" x14ac:dyDescent="0.2">
      <c r="B76" s="39" t="s">
        <v>30</v>
      </c>
      <c r="C76" s="26" t="s">
        <v>2</v>
      </c>
      <c r="D76" s="26" t="s">
        <v>2</v>
      </c>
      <c r="E76" s="26" t="s">
        <v>2</v>
      </c>
      <c r="F76" s="42" t="s">
        <v>2</v>
      </c>
      <c r="G76" s="26" t="s">
        <v>2</v>
      </c>
      <c r="H76" s="27">
        <f>AVERAGE(H77:H78)</f>
        <v>2</v>
      </c>
      <c r="I76" s="27">
        <f>IFERROR(AVERAGE(I77:I78),"-")</f>
        <v>2</v>
      </c>
      <c r="J76" s="26" t="s">
        <v>2</v>
      </c>
      <c r="K76" s="26" t="s">
        <v>2</v>
      </c>
      <c r="L76" s="26" t="s">
        <v>2</v>
      </c>
      <c r="M76" s="26" t="s">
        <v>2</v>
      </c>
      <c r="N76" s="26" t="s">
        <v>2</v>
      </c>
      <c r="O76" s="26" t="s">
        <v>2</v>
      </c>
    </row>
    <row r="77" spans="2:15" ht="25.5" outlineLevel="1" x14ac:dyDescent="0.2">
      <c r="B77" s="28" t="s">
        <v>58</v>
      </c>
      <c r="C77" s="29" t="s">
        <v>141</v>
      </c>
      <c r="D77" s="3"/>
      <c r="E77" s="3">
        <v>0</v>
      </c>
      <c r="F77" s="30">
        <f t="shared" ref="F77:F78" si="33">IF(E77="-","-",IF(D77=E77,1,IF(D77=0,120%,E77/D77)))</f>
        <v>1</v>
      </c>
      <c r="G77" s="29" t="s">
        <v>12</v>
      </c>
      <c r="H77" s="31">
        <f t="shared" ref="H77:H78" si="34">L77</f>
        <v>2</v>
      </c>
      <c r="I77" s="31">
        <f t="shared" ref="I77:I78" si="35">IF(F77="-","-",IF(G77="прямая",IF(F77&gt;120%,J77,IF(F77&lt;80%,N77,L77)),IF(F77&lt;80%,J77,IF(F77&gt;120%,N77,L77))))</f>
        <v>2</v>
      </c>
      <c r="J77" s="29">
        <v>1</v>
      </c>
      <c r="K77" s="29" t="str">
        <f t="shared" si="15"/>
        <v>гр.4&lt;80%</v>
      </c>
      <c r="L77" s="29">
        <v>2</v>
      </c>
      <c r="M77" s="29" t="s">
        <v>50</v>
      </c>
      <c r="N77" s="29">
        <v>3</v>
      </c>
      <c r="O77" s="29" t="str">
        <f t="shared" si="16"/>
        <v>гр.4&gt;120%</v>
      </c>
    </row>
    <row r="78" spans="2:15" ht="51" outlineLevel="1" x14ac:dyDescent="0.2">
      <c r="B78" s="28" t="s">
        <v>59</v>
      </c>
      <c r="C78" s="29" t="s">
        <v>18</v>
      </c>
      <c r="D78" s="2"/>
      <c r="E78" s="2">
        <v>0</v>
      </c>
      <c r="F78" s="30">
        <f t="shared" si="33"/>
        <v>1</v>
      </c>
      <c r="G78" s="29" t="s">
        <v>4</v>
      </c>
      <c r="H78" s="31">
        <f t="shared" si="34"/>
        <v>2</v>
      </c>
      <c r="I78" s="31">
        <f t="shared" si="35"/>
        <v>2</v>
      </c>
      <c r="J78" s="29">
        <v>1</v>
      </c>
      <c r="K78" s="29" t="str">
        <f t="shared" si="15"/>
        <v>гр.4&gt;120%</v>
      </c>
      <c r="L78" s="29">
        <v>2</v>
      </c>
      <c r="M78" s="29" t="s">
        <v>50</v>
      </c>
      <c r="N78" s="29">
        <v>3</v>
      </c>
      <c r="O78" s="29" t="str">
        <f t="shared" si="16"/>
        <v>гр.4&lt;80%</v>
      </c>
    </row>
    <row r="79" spans="2:15" s="19" customFormat="1" x14ac:dyDescent="0.2">
      <c r="B79" s="36" t="s">
        <v>31</v>
      </c>
      <c r="C79" s="17" t="s">
        <v>2</v>
      </c>
      <c r="D79" s="17" t="s">
        <v>2</v>
      </c>
      <c r="E79" s="17" t="s">
        <v>2</v>
      </c>
      <c r="F79" s="17" t="s">
        <v>2</v>
      </c>
      <c r="G79" s="17" t="s">
        <v>2</v>
      </c>
      <c r="H79" s="18">
        <f>AVERAGE(H60,H61,H68,H74,H76)</f>
        <v>2</v>
      </c>
      <c r="I79" s="18">
        <f>AVERAGE(I60,I61,I68,I74,I76)</f>
        <v>2</v>
      </c>
      <c r="J79" s="17" t="s">
        <v>2</v>
      </c>
      <c r="K79" s="17" t="s">
        <v>2</v>
      </c>
      <c r="L79" s="17" t="s">
        <v>2</v>
      </c>
      <c r="M79" s="17" t="s">
        <v>2</v>
      </c>
      <c r="N79" s="17" t="s">
        <v>2</v>
      </c>
      <c r="O79" s="17" t="s">
        <v>2</v>
      </c>
    </row>
    <row r="80" spans="2:15" s="19" customFormat="1" ht="15" x14ac:dyDescent="0.2">
      <c r="B80" s="21" t="s">
        <v>143</v>
      </c>
      <c r="C80" s="23"/>
      <c r="D80" s="23"/>
      <c r="E80" s="23"/>
      <c r="F80" s="23"/>
      <c r="G80" s="23"/>
      <c r="H80" s="45">
        <f>0.1*H43+0.7*H58+0.2*H79</f>
        <v>0.89749999999999996</v>
      </c>
      <c r="I80" s="45">
        <f>0.1*I43+0.7*I58+0.2*I79</f>
        <v>0.89749999999999996</v>
      </c>
      <c r="J80" s="37"/>
      <c r="K80" s="37"/>
      <c r="L80" s="37"/>
      <c r="M80" s="37"/>
      <c r="N80" s="37"/>
      <c r="O80" s="38"/>
    </row>
    <row r="82" spans="1:4" ht="19.5" x14ac:dyDescent="0.25">
      <c r="B82" s="10" t="s">
        <v>145</v>
      </c>
    </row>
    <row r="83" spans="1:4" ht="32.25" customHeight="1" x14ac:dyDescent="0.2">
      <c r="B83" s="11" t="s">
        <v>53</v>
      </c>
      <c r="C83" s="11" t="s">
        <v>133</v>
      </c>
      <c r="D83" s="11" t="s">
        <v>134</v>
      </c>
    </row>
    <row r="84" spans="1:4" ht="20.25" customHeight="1" x14ac:dyDescent="0.2">
      <c r="B84" s="36" t="s">
        <v>122</v>
      </c>
      <c r="C84" s="11" t="s">
        <v>121</v>
      </c>
      <c r="D84" s="11" t="s">
        <v>121</v>
      </c>
    </row>
    <row r="85" spans="1:4" ht="51" x14ac:dyDescent="0.2">
      <c r="A85" s="46"/>
      <c r="B85" s="47" t="s">
        <v>123</v>
      </c>
      <c r="C85" s="5"/>
      <c r="D85" s="5">
        <v>0</v>
      </c>
    </row>
    <row r="86" spans="1:4" ht="81" customHeight="1" x14ac:dyDescent="0.2">
      <c r="A86" s="46"/>
      <c r="B86" s="47" t="s">
        <v>142</v>
      </c>
      <c r="C86" s="5"/>
      <c r="D86" s="5">
        <v>0</v>
      </c>
    </row>
    <row r="87" spans="1:4" ht="25.5" x14ac:dyDescent="0.2">
      <c r="A87" s="46"/>
      <c r="B87" s="36" t="s">
        <v>126</v>
      </c>
      <c r="C87" s="48">
        <f>C85/MAX(1,(C85-C86))</f>
        <v>0</v>
      </c>
      <c r="D87" s="48">
        <f>D85/MAX(1,(D85-D86))</f>
        <v>0</v>
      </c>
    </row>
    <row r="88" spans="1:4" ht="17.25" customHeight="1" x14ac:dyDescent="0.2">
      <c r="B88" s="36" t="s">
        <v>124</v>
      </c>
      <c r="C88" s="15"/>
      <c r="D88" s="15"/>
    </row>
    <row r="89" spans="1:4" ht="38.25" x14ac:dyDescent="0.2">
      <c r="A89" s="46"/>
      <c r="B89" s="47" t="s">
        <v>125</v>
      </c>
      <c r="C89" s="5"/>
      <c r="D89" s="5">
        <v>0</v>
      </c>
    </row>
    <row r="90" spans="1:4" ht="76.5" x14ac:dyDescent="0.2">
      <c r="A90" s="46"/>
      <c r="B90" s="49" t="s">
        <v>156</v>
      </c>
      <c r="C90" s="5"/>
      <c r="D90" s="5">
        <v>0</v>
      </c>
    </row>
    <row r="91" spans="1:4" ht="25.5" x14ac:dyDescent="0.2">
      <c r="A91" s="46"/>
      <c r="B91" s="36" t="s">
        <v>127</v>
      </c>
      <c r="C91" s="48">
        <f>C89/MAX(1,(C89-C90))</f>
        <v>0</v>
      </c>
      <c r="D91" s="48">
        <f>D89/MAX(1,(D89-D90))</f>
        <v>0</v>
      </c>
    </row>
    <row r="92" spans="1:4" x14ac:dyDescent="0.2">
      <c r="B92" s="36" t="s">
        <v>128</v>
      </c>
      <c r="C92" s="15"/>
      <c r="D92" s="15"/>
    </row>
    <row r="93" spans="1:4" ht="51" x14ac:dyDescent="0.2">
      <c r="A93" s="46"/>
      <c r="B93" s="47" t="s">
        <v>129</v>
      </c>
      <c r="C93" s="5"/>
      <c r="D93" s="5">
        <v>0</v>
      </c>
    </row>
    <row r="94" spans="1:4" ht="25.5" x14ac:dyDescent="0.2">
      <c r="A94" s="46"/>
      <c r="B94" s="47" t="s">
        <v>130</v>
      </c>
      <c r="C94" s="5"/>
      <c r="D94" s="5">
        <v>0</v>
      </c>
    </row>
    <row r="95" spans="1:4" ht="25.5" x14ac:dyDescent="0.2">
      <c r="A95" s="46"/>
      <c r="B95" s="36" t="s">
        <v>131</v>
      </c>
      <c r="C95" s="48">
        <f>C94/MAX(1,(C94-C93))</f>
        <v>0</v>
      </c>
      <c r="D95" s="48">
        <f>D94/MAX(1,(D94-D93))</f>
        <v>0</v>
      </c>
    </row>
    <row r="96" spans="1:4" ht="15" x14ac:dyDescent="0.2">
      <c r="B96" s="50" t="s">
        <v>132</v>
      </c>
      <c r="C96" s="48">
        <f>IF((C87*0.4+C91*0.4+C95*0.2)=0,0,IF((C87*0.4+C91*0.4+C95*0.2)&lt;1,1,(C87*0.4+C91*0.4+C95*0.2)))</f>
        <v>0</v>
      </c>
      <c r="D96" s="48">
        <f>IF((D87*0.4+D91*0.4+D95*0.2)=0,0,IF((D87*0.4+D91*0.4+D95*0.2)&lt;1,1,(D87*0.4+D91*0.4+D95*0.2)))</f>
        <v>0</v>
      </c>
    </row>
    <row r="97" spans="2:9" ht="15" x14ac:dyDescent="0.2">
      <c r="B97" s="51"/>
      <c r="C97" s="52">
        <f>C87*0.4+C91*0.4+C95*0.2</f>
        <v>0</v>
      </c>
      <c r="D97" s="53">
        <f>D87*0.4+D91*0.4+D95*0.2</f>
        <v>0</v>
      </c>
    </row>
    <row r="98" spans="2:9" ht="15" x14ac:dyDescent="0.2">
      <c r="B98" s="51"/>
    </row>
    <row r="99" spans="2:9" ht="19.5" x14ac:dyDescent="0.25">
      <c r="B99" s="10" t="s">
        <v>93</v>
      </c>
    </row>
    <row r="100" spans="2:9" ht="54.75" customHeight="1" x14ac:dyDescent="0.2">
      <c r="B100" s="84" t="s">
        <v>53</v>
      </c>
      <c r="C100" s="89" t="s">
        <v>52</v>
      </c>
      <c r="D100" s="87" t="s">
        <v>87</v>
      </c>
      <c r="E100" s="88"/>
      <c r="F100" s="84" t="s">
        <v>88</v>
      </c>
      <c r="G100" s="84" t="s">
        <v>89</v>
      </c>
      <c r="H100" s="84" t="s">
        <v>155</v>
      </c>
      <c r="I100" s="84" t="s">
        <v>90</v>
      </c>
    </row>
    <row r="101" spans="2:9" ht="30.75" customHeight="1" x14ac:dyDescent="0.2">
      <c r="B101" s="84"/>
      <c r="C101" s="90"/>
      <c r="D101" s="11" t="s">
        <v>36</v>
      </c>
      <c r="E101" s="11" t="s">
        <v>35</v>
      </c>
      <c r="F101" s="84"/>
      <c r="G101" s="84"/>
      <c r="H101" s="84"/>
      <c r="I101" s="84"/>
    </row>
    <row r="102" spans="2:9" ht="25.5" x14ac:dyDescent="0.2">
      <c r="B102" s="54" t="s">
        <v>63</v>
      </c>
      <c r="C102" s="14" t="s">
        <v>2</v>
      </c>
      <c r="D102" s="55">
        <f>D9</f>
        <v>0</v>
      </c>
      <c r="E102" s="55">
        <f>E9</f>
        <v>0</v>
      </c>
      <c r="F102" s="56">
        <f>IF(C125=B158,C118,IF(C125=B159,C119,IF(C125=B160,C121,C122)))</f>
        <v>0.3</v>
      </c>
      <c r="G102" s="57" t="str">
        <f>IF(E102&lt;=D102*(1-F102),"достигнуто с улучшением",IF(E102&lt;=D102*(1+F102),"достигнуто","не достигнуто"))</f>
        <v>достигнуто с улучшением</v>
      </c>
      <c r="H102" s="7" t="s">
        <v>106</v>
      </c>
      <c r="I102" s="58">
        <f>IF(H102="-",-1,IF(G102="достигнуто",0,IF(G102="не достигнуто",-1,1)))</f>
        <v>1</v>
      </c>
    </row>
    <row r="103" spans="2:9" ht="25.5" x14ac:dyDescent="0.2">
      <c r="B103" s="54" t="s">
        <v>70</v>
      </c>
      <c r="C103" s="14" t="s">
        <v>2</v>
      </c>
      <c r="D103" s="55">
        <f>D18</f>
        <v>0</v>
      </c>
      <c r="E103" s="55">
        <f>E18</f>
        <v>0</v>
      </c>
      <c r="F103" s="7">
        <f>D114</f>
        <v>0.15</v>
      </c>
      <c r="G103" s="57" t="str">
        <f>IF(E103&lt;=D103*(1-F103),"достигнуто с улучшением",IF(E103&lt;=D103*(1+F103),"достигнуто","не достигнуто"))</f>
        <v>достигнуто с улучшением</v>
      </c>
      <c r="H103" s="7" t="s">
        <v>106</v>
      </c>
      <c r="I103" s="58">
        <f>IF(H103="-",-1,IF(G103="достигнуто",0,IF(G103="не достигнуто",-1,1)))</f>
        <v>1</v>
      </c>
    </row>
    <row r="104" spans="2:9" x14ac:dyDescent="0.2">
      <c r="B104" s="54" t="s">
        <v>143</v>
      </c>
      <c r="C104" s="14" t="s">
        <v>2</v>
      </c>
      <c r="D104" s="55">
        <f>H80</f>
        <v>0.89749999999999996</v>
      </c>
      <c r="E104" s="55">
        <f>I80</f>
        <v>0.89749999999999996</v>
      </c>
      <c r="F104" s="43">
        <f>$F$102</f>
        <v>0.3</v>
      </c>
      <c r="G104" s="57" t="str">
        <f>IF(E104&lt;=D104*(1-F104),"достигнуто с улучшением",IF(E104&lt;=D104*(1+F104),"достигнуто","не достигнуто"))</f>
        <v>достигнуто</v>
      </c>
      <c r="H104" s="7" t="s">
        <v>106</v>
      </c>
      <c r="I104" s="58">
        <f>IF(H104="-",-1,IF(G104="достигнуто",0,IF(G104="не достигнуто",-1,1)))</f>
        <v>0</v>
      </c>
    </row>
    <row r="105" spans="2:9" ht="25.5" x14ac:dyDescent="0.2">
      <c r="B105" s="54" t="s">
        <v>154</v>
      </c>
      <c r="C105" s="14" t="s">
        <v>2</v>
      </c>
      <c r="D105" s="55">
        <f>C96</f>
        <v>0</v>
      </c>
      <c r="E105" s="55">
        <f>D96</f>
        <v>0</v>
      </c>
      <c r="F105" s="43">
        <f>$F$102</f>
        <v>0.3</v>
      </c>
      <c r="G105" s="57" t="str">
        <f>IF(E105&lt;=D105*(1-F105),"достигнуто с улучшением",IF(E105&lt;=D105*(1+F105),"достигнуто","не достигнуто"))</f>
        <v>достигнуто с улучшением</v>
      </c>
      <c r="H105" s="7" t="s">
        <v>106</v>
      </c>
      <c r="I105" s="58">
        <f>IF(H105="-",-1,IF(G105="достигнуто",0,IF(G105="не достигнуто",-1,1)))</f>
        <v>1</v>
      </c>
    </row>
    <row r="106" spans="2:9" x14ac:dyDescent="0.2">
      <c r="B106" s="59"/>
      <c r="C106" s="60"/>
      <c r="D106" s="61"/>
      <c r="E106" s="61"/>
      <c r="F106" s="62"/>
      <c r="G106" s="63"/>
      <c r="H106" s="62"/>
      <c r="I106" s="64"/>
    </row>
    <row r="107" spans="2:9" x14ac:dyDescent="0.2">
      <c r="B107" s="65" t="s">
        <v>91</v>
      </c>
    </row>
    <row r="108" spans="2:9" x14ac:dyDescent="0.2">
      <c r="B108" s="66" t="s">
        <v>73</v>
      </c>
      <c r="C108" s="67">
        <f>I102*C130+I103*D130</f>
        <v>1</v>
      </c>
    </row>
    <row r="109" spans="2:9" x14ac:dyDescent="0.2">
      <c r="B109" s="54" t="s">
        <v>85</v>
      </c>
      <c r="C109" s="31">
        <f>I102*C131+I104*E131+I105*D131</f>
        <v>0.9</v>
      </c>
    </row>
    <row r="111" spans="2:9" x14ac:dyDescent="0.2">
      <c r="B111" s="65" t="s">
        <v>92</v>
      </c>
    </row>
    <row r="112" spans="2:9" ht="25.5" x14ac:dyDescent="0.2">
      <c r="B112" s="11" t="s">
        <v>81</v>
      </c>
      <c r="C112" s="11" t="s">
        <v>79</v>
      </c>
      <c r="D112" s="11" t="s">
        <v>80</v>
      </c>
    </row>
    <row r="113" spans="2:4" x14ac:dyDescent="0.2">
      <c r="B113" s="16" t="s">
        <v>73</v>
      </c>
      <c r="C113" s="68"/>
      <c r="D113" s="68"/>
    </row>
    <row r="114" spans="2:4" x14ac:dyDescent="0.2">
      <c r="B114" s="69" t="s">
        <v>74</v>
      </c>
      <c r="C114" s="70">
        <v>0.25</v>
      </c>
      <c r="D114" s="102">
        <v>0.15</v>
      </c>
    </row>
    <row r="115" spans="2:4" x14ac:dyDescent="0.2">
      <c r="B115" s="69" t="s">
        <v>75</v>
      </c>
      <c r="C115" s="70">
        <v>0.2</v>
      </c>
      <c r="D115" s="103"/>
    </row>
    <row r="116" spans="2:4" ht="47.25" customHeight="1" x14ac:dyDescent="0.2">
      <c r="B116" s="69" t="s">
        <v>76</v>
      </c>
      <c r="C116" s="71" t="s">
        <v>82</v>
      </c>
      <c r="D116" s="104"/>
    </row>
    <row r="117" spans="2:4" x14ac:dyDescent="0.2">
      <c r="B117" s="97" t="s">
        <v>71</v>
      </c>
      <c r="C117" s="98"/>
      <c r="D117" s="99"/>
    </row>
    <row r="118" spans="2:4" x14ac:dyDescent="0.2">
      <c r="B118" s="69" t="s">
        <v>77</v>
      </c>
      <c r="C118" s="85">
        <v>0.3</v>
      </c>
      <c r="D118" s="86"/>
    </row>
    <row r="119" spans="2:4" x14ac:dyDescent="0.2">
      <c r="B119" s="69" t="s">
        <v>76</v>
      </c>
      <c r="C119" s="85">
        <v>0.25</v>
      </c>
      <c r="D119" s="86"/>
    </row>
    <row r="120" spans="2:4" x14ac:dyDescent="0.2">
      <c r="B120" s="97" t="s">
        <v>72</v>
      </c>
      <c r="C120" s="98"/>
      <c r="D120" s="99"/>
    </row>
    <row r="121" spans="2:4" x14ac:dyDescent="0.2">
      <c r="B121" s="69" t="s">
        <v>77</v>
      </c>
      <c r="C121" s="85">
        <v>0.35</v>
      </c>
      <c r="D121" s="86"/>
    </row>
    <row r="122" spans="2:4" x14ac:dyDescent="0.2">
      <c r="B122" s="69" t="s">
        <v>78</v>
      </c>
      <c r="C122" s="85">
        <v>0.3</v>
      </c>
      <c r="D122" s="86"/>
    </row>
    <row r="123" spans="2:4" x14ac:dyDescent="0.2">
      <c r="B123" s="69" t="s">
        <v>76</v>
      </c>
      <c r="C123" s="95" t="s">
        <v>83</v>
      </c>
      <c r="D123" s="96"/>
    </row>
    <row r="124" spans="2:4" s="72" customFormat="1" x14ac:dyDescent="0.2"/>
    <row r="125" spans="2:4" ht="26.25" customHeight="1" x14ac:dyDescent="0.2">
      <c r="B125" s="69" t="s">
        <v>147</v>
      </c>
      <c r="C125" s="100" t="s">
        <v>148</v>
      </c>
      <c r="D125" s="101"/>
    </row>
    <row r="126" spans="2:4" x14ac:dyDescent="0.2">
      <c r="B126" s="73"/>
    </row>
    <row r="128" spans="2:4" x14ac:dyDescent="0.2">
      <c r="B128" s="65" t="s">
        <v>105</v>
      </c>
    </row>
    <row r="129" spans="2:5" ht="25.5" x14ac:dyDescent="0.2">
      <c r="B129" s="11" t="s">
        <v>86</v>
      </c>
      <c r="C129" s="11" t="s">
        <v>84</v>
      </c>
      <c r="D129" s="84" t="s">
        <v>146</v>
      </c>
      <c r="E129" s="84"/>
    </row>
    <row r="130" spans="2:5" x14ac:dyDescent="0.2">
      <c r="B130" s="54" t="s">
        <v>73</v>
      </c>
      <c r="C130" s="74">
        <v>0.75</v>
      </c>
      <c r="D130" s="74">
        <f>1-C130</f>
        <v>0.25</v>
      </c>
      <c r="E130" s="75">
        <v>0</v>
      </c>
    </row>
    <row r="131" spans="2:5" x14ac:dyDescent="0.2">
      <c r="B131" s="54" t="s">
        <v>85</v>
      </c>
      <c r="C131" s="74">
        <v>0.65</v>
      </c>
      <c r="D131" s="74">
        <v>0.25</v>
      </c>
      <c r="E131" s="76">
        <v>0.1</v>
      </c>
    </row>
    <row r="133" spans="2:5" ht="19.5" x14ac:dyDescent="0.25">
      <c r="B133" s="10" t="s">
        <v>94</v>
      </c>
    </row>
    <row r="136" spans="2:5" x14ac:dyDescent="0.2">
      <c r="B136" s="19" t="s">
        <v>95</v>
      </c>
    </row>
    <row r="137" spans="2:5" x14ac:dyDescent="0.2">
      <c r="B137" s="15" t="s">
        <v>98</v>
      </c>
      <c r="C137" s="77">
        <f>C108*$C$139</f>
        <v>0.02</v>
      </c>
    </row>
    <row r="138" spans="2:5" x14ac:dyDescent="0.2">
      <c r="B138" s="15" t="s">
        <v>99</v>
      </c>
      <c r="C138" s="77">
        <f>C109*$C$139</f>
        <v>1.8000000000000002E-2</v>
      </c>
    </row>
    <row r="139" spans="2:5" ht="25.5" x14ac:dyDescent="0.2">
      <c r="B139" s="47" t="s">
        <v>153</v>
      </c>
      <c r="C139" s="78">
        <f>C145</f>
        <v>0.02</v>
      </c>
    </row>
    <row r="140" spans="2:5" x14ac:dyDescent="0.2">
      <c r="B140" s="46"/>
      <c r="C140" s="46"/>
      <c r="D140" s="46"/>
    </row>
    <row r="142" spans="2:5" x14ac:dyDescent="0.2">
      <c r="B142" s="65" t="s">
        <v>100</v>
      </c>
    </row>
    <row r="143" spans="2:5" x14ac:dyDescent="0.2">
      <c r="B143" s="79" t="s">
        <v>96</v>
      </c>
      <c r="C143" s="78">
        <v>5.0000000000000001E-3</v>
      </c>
    </row>
    <row r="144" spans="2:5" x14ac:dyDescent="0.2">
      <c r="B144" s="79" t="s">
        <v>97</v>
      </c>
      <c r="C144" s="78">
        <v>0.01</v>
      </c>
    </row>
    <row r="145" spans="2:7" x14ac:dyDescent="0.2">
      <c r="B145" s="79" t="s">
        <v>104</v>
      </c>
      <c r="C145" s="78">
        <v>0.02</v>
      </c>
    </row>
    <row r="146" spans="2:7" x14ac:dyDescent="0.2">
      <c r="B146" s="80"/>
      <c r="C146" s="81"/>
    </row>
    <row r="147" spans="2:7" x14ac:dyDescent="0.2">
      <c r="B147" s="19" t="s">
        <v>101</v>
      </c>
      <c r="C147" s="81"/>
    </row>
    <row r="148" spans="2:7" x14ac:dyDescent="0.2">
      <c r="B148" s="69" t="s">
        <v>102</v>
      </c>
      <c r="C148" s="78">
        <v>-0.03</v>
      </c>
    </row>
    <row r="149" spans="2:7" ht="38.25" x14ac:dyDescent="0.2">
      <c r="B149" s="69" t="s">
        <v>103</v>
      </c>
      <c r="C149" s="15"/>
    </row>
    <row r="150" spans="2:7" x14ac:dyDescent="0.2">
      <c r="B150" s="79" t="s">
        <v>96</v>
      </c>
      <c r="C150" s="78">
        <v>0.2</v>
      </c>
    </row>
    <row r="151" spans="2:7" x14ac:dyDescent="0.2">
      <c r="B151" s="79" t="s">
        <v>97</v>
      </c>
      <c r="C151" s="78">
        <v>0.15</v>
      </c>
    </row>
    <row r="152" spans="2:7" x14ac:dyDescent="0.2">
      <c r="B152" s="79" t="s">
        <v>104</v>
      </c>
      <c r="C152" s="78">
        <v>0.1</v>
      </c>
    </row>
    <row r="153" spans="2:7" x14ac:dyDescent="0.2">
      <c r="B153" s="92" t="s">
        <v>152</v>
      </c>
      <c r="C153" s="92"/>
      <c r="D153" s="92"/>
      <c r="E153" s="92"/>
      <c r="F153" s="92"/>
      <c r="G153" s="92"/>
    </row>
    <row r="158" spans="2:7" s="9" customFormat="1" hidden="1" x14ac:dyDescent="0.2">
      <c r="B158" s="6" t="s">
        <v>148</v>
      </c>
    </row>
    <row r="159" spans="2:7" s="9" customFormat="1" hidden="1" x14ac:dyDescent="0.2">
      <c r="B159" s="6" t="s">
        <v>149</v>
      </c>
    </row>
    <row r="160" spans="2:7" s="9" customFormat="1" hidden="1" x14ac:dyDescent="0.2">
      <c r="B160" s="6" t="s">
        <v>150</v>
      </c>
    </row>
    <row r="161" spans="2:5" s="9" customFormat="1" hidden="1" x14ac:dyDescent="0.2">
      <c r="B161" s="6" t="s">
        <v>151</v>
      </c>
    </row>
    <row r="165" spans="2:5" x14ac:dyDescent="0.2">
      <c r="E165" s="82"/>
    </row>
  </sheetData>
  <sheetProtection password="FA9C" sheet="1" objects="1" scenarios="1" formatColumns="0" formatRows="0"/>
  <mergeCells count="35">
    <mergeCell ref="B153:G153"/>
    <mergeCell ref="B1:E1"/>
    <mergeCell ref="B2:E2"/>
    <mergeCell ref="D129:E129"/>
    <mergeCell ref="B4:B5"/>
    <mergeCell ref="B12:B13"/>
    <mergeCell ref="B100:B101"/>
    <mergeCell ref="C123:D123"/>
    <mergeCell ref="B117:D117"/>
    <mergeCell ref="B120:D120"/>
    <mergeCell ref="C125:D125"/>
    <mergeCell ref="D4:E4"/>
    <mergeCell ref="C121:D121"/>
    <mergeCell ref="C122:D122"/>
    <mergeCell ref="D114:D116"/>
    <mergeCell ref="C12:C13"/>
    <mergeCell ref="J21:O21"/>
    <mergeCell ref="J23:O23"/>
    <mergeCell ref="I21:I22"/>
    <mergeCell ref="C21:C22"/>
    <mergeCell ref="H21:H22"/>
    <mergeCell ref="D12:E12"/>
    <mergeCell ref="C118:D118"/>
    <mergeCell ref="C119:D119"/>
    <mergeCell ref="D100:E100"/>
    <mergeCell ref="C4:C5"/>
    <mergeCell ref="C100:C101"/>
    <mergeCell ref="I100:I101"/>
    <mergeCell ref="B21:B22"/>
    <mergeCell ref="D21:E21"/>
    <mergeCell ref="F21:F22"/>
    <mergeCell ref="G21:G22"/>
    <mergeCell ref="H100:H101"/>
    <mergeCell ref="G100:G101"/>
    <mergeCell ref="F100:F101"/>
  </mergeCells>
  <phoneticPr fontId="6" type="noConversion"/>
  <dataValidations count="2">
    <dataValidation type="list" allowBlank="1" showInputMessage="1" showErrorMessage="1" sqref="C125:D125">
      <formula1>$B$158:$B$161</formula1>
    </dataValidation>
    <dataValidation type="list" allowBlank="1" showInputMessage="1" showErrorMessage="1" sqref="H102:H106">
      <formula1>"+,-"</formula1>
    </dataValidation>
  </dataValidations>
  <pageMargins left="0.74803149606299213" right="0.74803149606299213" top="0.98425196850393704" bottom="0.98425196850393704" header="0.51181102362204722" footer="0.51181102362204722"/>
  <pageSetup paperSize="9" scale="56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</vt:lpstr>
      <vt:lpstr>Факт!Область_печати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М.А.</dc:creator>
  <cp:lastModifiedBy>Тельманова Л.С.</cp:lastModifiedBy>
  <cp:lastPrinted>2011-04-13T16:24:15Z</cp:lastPrinted>
  <dcterms:created xsi:type="dcterms:W3CDTF">2011-02-17T16:41:43Z</dcterms:created>
  <dcterms:modified xsi:type="dcterms:W3CDTF">2015-03-31T04:01:21Z</dcterms:modified>
</cp:coreProperties>
</file>