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ergoneft-t.ru\files\ОУиСЭ\Сектор_Электро\Надёжность приказ 1256 Мин.энергетики\2026_отчет за 2025\ТОМСК\"/>
    </mc:Choice>
  </mc:AlternateContent>
  <bookViews>
    <workbookView xWindow="0" yWindow="0" windowWidth="28800" windowHeight="12435" tabRatio="840" firstSheet="13" activeTab="14"/>
  </bookViews>
  <sheets>
    <sheet name="Информация" sheetId="1" state="hidden" r:id="rId1"/>
    <sheet name="OPTIONS" sheetId="2" state="hidden" r:id="rId2"/>
    <sheet name="Инструкция" sheetId="3" r:id="rId3"/>
    <sheet name="Список листов" sheetId="4" state="hidden" r:id="rId4"/>
    <sheet name="TEHSHEET" sheetId="5" state="hidden" r:id="rId5"/>
    <sheet name="REESTR_ORG" sheetId="6" state="hidden" r:id="rId6"/>
    <sheet name="Титульный" sheetId="7" r:id="rId7"/>
    <sheet name="Сопроводительные материалы" sheetId="8" r:id="rId8"/>
    <sheet name="ф.2.1 ИндИнф (Ин)" sheetId="9" state="hidden" r:id="rId9"/>
    <sheet name="ф.2.2 ИндИспол (Ис)" sheetId="10" state="hidden" r:id="rId10"/>
    <sheet name="ф.2.3 ИндРезульт (Рс)" sheetId="11" state="hidden" r:id="rId11"/>
    <sheet name="ф.1.3 Ср.продолж." sheetId="12" state="hidden" r:id="rId12"/>
    <sheet name="ф.1.3.1 Ср.продолж." sheetId="13" r:id="rId13"/>
    <sheet name="ф.8.1 Журнал учета" sheetId="14" r:id="rId14"/>
    <sheet name="ф.8.1.1 Ведомость_свод" sheetId="15" r:id="rId15"/>
    <sheet name="ф.8.3 Индикатив" sheetId="16" state="hidden" r:id="rId16"/>
    <sheet name="ф.8.3.1 Индикатив" sheetId="17" r:id="rId17"/>
    <sheet name="Заявки Техприс" sheetId="18" state="hidden" r:id="rId18"/>
    <sheet name="Договоры Техприс" sheetId="19" state="hidden" r:id="rId19"/>
    <sheet name="Ф.3.1Ф3.2 ПоказТехприс (Птпр)" sheetId="20" r:id="rId20"/>
    <sheet name="Форма 4.1 расч." sheetId="21" state="hidden" r:id="rId21"/>
    <sheet name="Форма 4.1 расч. с 2024 г" sheetId="22" r:id="rId22"/>
    <sheet name="Форма 4.2 расч." sheetId="23" state="hidden" r:id="rId23"/>
    <sheet name="Форма 4.2 расч. с 2024 г" sheetId="24" r:id="rId24"/>
    <sheet name="ф.1.9 Характеристика" sheetId="25" r:id="rId25"/>
    <sheet name="Ф9.1Ф9.2" sheetId="26" r:id="rId26"/>
    <sheet name="Комментарии" sheetId="27" r:id="rId27"/>
  </sheets>
  <definedNames>
    <definedName name="_xlnm._FilterDatabase" localSheetId="13">'ф.8.1 Журнал учета'!$AB$28:$CE$237</definedName>
    <definedName name="ADD_1_wsComs">Комментарии!$AC$23:$AC$24</definedName>
    <definedName name="ADD_1_wsDocs">'Сопроводительные материалы'!$AC$35:$AC$51</definedName>
    <definedName name="ADD_1_wsF81">'ф.8.1 Журнал учета'!$AC$29:$AC$237</definedName>
    <definedName name="ADD_1_wsTechCon_Contracts">'Договоры Техприс'!$AC$40:$AC$41</definedName>
    <definedName name="ADD_1_wsTechCon_Reqs">'Заявки Техприс'!$AC$39:$AC$40</definedName>
    <definedName name="ADD_2_wsTechCon_Contracts">'Договоры Техприс'!$AC$43:$AC$44</definedName>
    <definedName name="ADD_2_wsTechCon_Reqs">'Заявки Техприс'!$AC$42:$AC$43</definedName>
    <definedName name="ADD_3_wsTechCon_Contracts">'Договоры Техприс'!$AC$46:$AC$47</definedName>
    <definedName name="ADD_3_wsTechCon_Reqs">'Заявки Техприс'!$AC$45:$AC$46</definedName>
    <definedName name="ADD_4_wsTechCon_Contracts">'Договоры Техприс'!$AC$49:$AC$50</definedName>
    <definedName name="ADD_4_wsTechCon_Reqs">'Заявки Техприс'!$AC$48:$AC$49</definedName>
    <definedName name="addCurr">'ф.8.1 Журнал учета'!$AC$237</definedName>
    <definedName name="bln_binary">TEHSHEET!$Z$2:$Z$3</definedName>
    <definedName name="ChangeStore">TEHSHEET!$C$8</definedName>
    <definedName name="CODE">Инструкция!$B$2</definedName>
    <definedName name="DAY">TEHSHEET!$K$2:$K$32</definedName>
    <definedName name="doc_list">TEHSHEET!$L$2:$L$3</definedName>
    <definedName name="END_LICENSE">TEHSHEET!$C$11</definedName>
    <definedName name="f_8_1_1_dnld_clck">'ф.8.1.1 Ведомость_свод'!$AW$27</definedName>
    <definedName name="f_8_1_ae">TEHSHEET!$E$2:$E$31</definedName>
    <definedName name="f_8_1_date1">'ф.8.1 Журнал учета'!$AG$29:$AH$237</definedName>
    <definedName name="f_8_1_date2">'ф.8.1 Журнал учета'!$BQ$29:$BR$237</definedName>
    <definedName name="f_8_1_timeOFF">'ф.8.1 Журнал учета'!$AJ$29:$AJ$237</definedName>
    <definedName name="FACT_YEAR">TEHSHEET!$I$15:$I$25</definedName>
    <definedName name="FIL">Титульный!$AC$36</definedName>
    <definedName name="FIL_FLAG">Титульный!$AC$33</definedName>
    <definedName name="FIRST_PERIOD_IN_LT">Титульный!$AC$43</definedName>
    <definedName name="FIRST_PERIOD_INDEX">Титульный!$AC$41</definedName>
    <definedName name="flag_end_wsComs">Комментарии!$AE$26</definedName>
    <definedName name="flag_end_wsDocs">'Сопроводительные материалы'!$AG$52</definedName>
    <definedName name="flag_end_wsF13_AvgDuration">'ф.1.3 Ср.продолж.'!$AG$34</definedName>
    <definedName name="flag_end_wsF131_AvgDuration">'ф.1.3.1 Ср.продолж.'!$AG$44</definedName>
    <definedName name="flag_end_wsF19_Char">'ф.1.9 Характеристика'!$AL$40</definedName>
    <definedName name="flag_end_wsF21_IndInf">'ф.2.1 ИндИнф (Ин)'!$AK$55</definedName>
    <definedName name="flag_end_wsF22_IndExec">'ф.2.2 ИндИспол (Ис)'!$AJ$48</definedName>
    <definedName name="flag_end_wsF23_IndRes">'ф.2.3 ИндРезульт (Рс)'!$AK$61</definedName>
    <definedName name="flag_end_wsF312_TechCon">'Ф.3.1Ф3.2 ПоказТехприс (Птпр)'!$AI$47</definedName>
    <definedName name="flag_end_wsF41_Calc">'Форма 4.1 расч.'!$AH$68</definedName>
    <definedName name="flag_end_wsF41_Calc2024">'Форма 4.1 расч. с 2024 г'!$AJ$88</definedName>
    <definedName name="flag_end_wsF42_Calc">'Форма 4.2 расч.'!$AM$38</definedName>
    <definedName name="flag_end_wsF42_Calc2024">'Форма 4.2 расч. с 2024 г'!$AM$38</definedName>
    <definedName name="flag_end_wsF81">'ф.8.1 Журнал учета'!$CS$250</definedName>
    <definedName name="flag_end_wsF811_Report">'ф.8.1.1 Ведомость_свод'!$AX$40</definedName>
    <definedName name="flag_end_wsF83_Indicat">'ф.8.3 Индикатив'!$AF$53</definedName>
    <definedName name="flag_end_wsF831_Indicat">'ф.8.3.1 Индикатив'!$AF$47</definedName>
    <definedName name="flag_end_wsF912">'Ф9.1Ф9.2'!$AR$50</definedName>
    <definedName name="flag_end_wsList">'Список листов'!$AF$46</definedName>
    <definedName name="flag_end_wsTechCon_Contracts">'Договоры Техприс'!$BK$51</definedName>
    <definedName name="flag_end_wsTechCon_Reqs">'Заявки Техприс'!$BC$50</definedName>
    <definedName name="flag_end_wsTitle">Титульный!$AD$64</definedName>
    <definedName name="flag_start_wsComs">Комментарии!$AA$20</definedName>
    <definedName name="flag_start_wsDocs">'Сопроводительные материалы'!$AA$20</definedName>
    <definedName name="flag_start_wsF13_AvgDuration">'ф.1.3 Ср.продолж.'!$AA$20</definedName>
    <definedName name="flag_start_wsF131_AvgDuration">'ф.1.3.1 Ср.продолж.'!$AA$20</definedName>
    <definedName name="flag_start_wsF19_Char">'ф.1.9 Характеристика'!$AA$20</definedName>
    <definedName name="flag_start_wsF21_IndInf">'ф.2.1 ИндИнф (Ин)'!$AA$20</definedName>
    <definedName name="flag_start_wsF22_IndExec">'ф.2.2 ИндИспол (Ис)'!$AA$20</definedName>
    <definedName name="flag_start_wsF23_IndRes">'ф.2.3 ИндРезульт (Рс)'!$AA$20</definedName>
    <definedName name="flag_start_wsF312_TechCon">'Ф.3.1Ф3.2 ПоказТехприс (Птпр)'!$AA$20</definedName>
    <definedName name="flag_start_wsF41_Calc">'Форма 4.1 расч.'!$AA$20</definedName>
    <definedName name="flag_start_wsF41_Calc2024">'Форма 4.1 расч. с 2024 г'!$AA$20</definedName>
    <definedName name="flag_start_wsF42_Calc">'Форма 4.2 расч.'!$AA$20</definedName>
    <definedName name="flag_start_wsF42_Calc2024">'Форма 4.2 расч. с 2024 г'!$AA$20</definedName>
    <definedName name="flag_start_wsF81">'ф.8.1 Журнал учета'!$AA$20</definedName>
    <definedName name="flag_start_wsF811_Report">'ф.8.1.1 Ведомость_свод'!$AA$20</definedName>
    <definedName name="flag_start_wsF83_Indicat">'ф.8.3 Индикатив'!$AA$20</definedName>
    <definedName name="flag_start_wsF831_Indicat">'ф.8.3.1 Индикатив'!$AA$20</definedName>
    <definedName name="flag_start_wsF912">'Ф9.1Ф9.2'!$AA$20</definedName>
    <definedName name="flag_start_wsList">'Список листов'!$AA$20</definedName>
    <definedName name="flag_start_wsTechCon_Contracts">'Договоры Техприс'!$AA$20</definedName>
    <definedName name="flag_start_wsTechCon_Reqs">'Заявки Техприс'!$AA$20</definedName>
    <definedName name="flag_start_wsTitle">Титульный!$AA$20</definedName>
    <definedName name="formingLock_1">Титульный!$AC$46</definedName>
    <definedName name="formingLock_2">Титульный!$AC$47</definedName>
    <definedName name="formingLock_3">Титульный!$AC$55</definedName>
    <definedName name="formingLock_4">Титульный!$AC$59</definedName>
    <definedName name="formingLock_5">Титульный!$AC$60</definedName>
    <definedName name="formingLock_6">Титульный!$AC$61</definedName>
    <definedName name="INN">Титульный!$AC$38</definedName>
    <definedName name="INSTRUCTION">TEHSHEET!$C$2</definedName>
    <definedName name="KPP">Титульный!$AC$39</definedName>
    <definedName name="kvartal">TEHSHEET!$G$2:$G$5</definedName>
    <definedName name="LINK_DOC_MASK">TEHSHEET!$B$2:$B$3</definedName>
    <definedName name="LOAD_1_wsComs">Комментарии!$AC$23:$AC$24</definedName>
    <definedName name="LOAD_1_wsDocs">'Сопроводительные материалы'!$AD$26:$AE$51</definedName>
    <definedName name="LOAD_1_wsF13_AvgDuration">'ф.1.3 Ср.продолж.'!$AD$26:$AE$28</definedName>
    <definedName name="LOAD_1_wsF131_AvgDuration">'ф.1.3.1 Ср.продолж.'!$AD$26:$AE$38</definedName>
    <definedName name="LOAD_1_wsF19_Char">'ф.1.9 Характеристика'!$AD$28:$AJ$35</definedName>
    <definedName name="LOAD_1_wsF21_IndInf">'ф.2.1 ИндИнф (Ин)'!$AE$28:$AI$50</definedName>
    <definedName name="LOAD_1_wsF22_IndExec">'ф.2.2 ИндИспол (Ис)'!$AE$28:$AI$43</definedName>
    <definedName name="LOAD_1_wsF23_IndRes">'ф.2.3 ИндРезульт (Рс)'!$AE$28:$AI$50</definedName>
    <definedName name="LOAD_1_wsF312_TechCon">'Ф.3.1Ф3.2 ПоказТехприс (Птпр)'!$AE$25:$AH$28</definedName>
    <definedName name="LOAD_1_wsF41_Calc">'Форма 4.1 расч.'!$AE$27:$AF$43</definedName>
    <definedName name="LOAD_1_wsF41_Calc2024">'Форма 4.1 расч. с 2024 г'!$AE$27:$AF$63</definedName>
    <definedName name="LOAD_1_wsF42_Calc">'Форма 4.2 расч.'!$AD$26:$AL$34</definedName>
    <definedName name="LOAD_1_wsF42_Calc2024">'Форма 4.2 расч. с 2024 г'!$AD$26:$AL$34</definedName>
    <definedName name="LOAD_1_wsF81">'ф.8.1 Журнал учета'!$AD$29:$CE$242</definedName>
    <definedName name="LOAD_1_wsF811_Report">'ф.8.1.1 Ведомость_свод'!$AD$27:$AV$38</definedName>
    <definedName name="LOAD_1_wsF83_Indicat">'ф.8.3 Индикатив'!$AD$27:$AE$49</definedName>
    <definedName name="LOAD_1_wsF831_Indicat">'ф.8.3.1 Индикатив'!$AD$27:$AE$43</definedName>
    <definedName name="LOAD_1_wsF912">'Ф9.1Ф9.2'!$AD$27:$AM$35</definedName>
    <definedName name="LOAD_1_wsTechCon_Contracts">'Договоры Техприс'!$AD$29:$AG$30</definedName>
    <definedName name="LOAD_1_wsTechCon_Reqs">'Заявки Техприс'!$AD$29:$AH$30</definedName>
    <definedName name="LOAD_1_wsTitle">Титульный!$AC$24:$AC$63</definedName>
    <definedName name="LOAD_2_wsF312_TechCon">'Ф.3.1Ф3.2 ПоказТехприс (Птпр)'!$AE$34:$AH$37</definedName>
    <definedName name="LOAD_2_wsF41_Calc">'Форма 4.1 расч.'!$AD$51:$AG$67</definedName>
    <definedName name="LOAD_2_wsF41_Calc2024">'Форма 4.1 расч. с 2024 г'!$AD$71:$AG$87</definedName>
    <definedName name="LOAD_2_wsF912">'Ф9.1Ф9.2'!$AD$42:$AK$49</definedName>
    <definedName name="LOAD_2_wsTechCon_Contracts">'Договоры Техприс'!$AD$40:$BI$49</definedName>
    <definedName name="LOAD_2_wsTechCon_Reqs">'Заявки Техприс'!$AD$39:$BA$48</definedName>
    <definedName name="LOAD_3_wsF312_TechCon">'Ф.3.1Ф3.2 ПоказТехприс (Птпр)'!$AE$42:$AH$42</definedName>
    <definedName name="logic">TEHSHEET!$F$2:$F$3</definedName>
    <definedName name="mainDyns">'ф.8.1 Журнал учета'!$AC$30:$AC$237</definedName>
    <definedName name="maxDateToCheck">TEHSHEET!$C$5</definedName>
    <definedName name="MONTH">TEHSHEET!$I$2:$I$13</definedName>
    <definedName name="MONTH_CH">TEHSHEET!$J$2:$J$13</definedName>
    <definedName name="ORG">Титульный!$AC$35</definedName>
    <definedName name="ORG_ID">Титульный!$AC$37</definedName>
    <definedName name="OVER_PERIOD_3">TEHSHEET!$H$29:$H$31</definedName>
    <definedName name="OVER_PERIOD_4">TEHSHEET!$H$37:$H$40</definedName>
    <definedName name="OVER_PERIOD_5">TEHSHEET!$H$44:$H$48</definedName>
    <definedName name="Period">TEHSHEET!$H$2:$H$11</definedName>
    <definedName name="PERIOD_LIST">TEHSHEET!$H$31:$H$35</definedName>
    <definedName name="PLAN_YEAR">TEHSHEET!$I$24:$I$25</definedName>
    <definedName name="POSSIBLE_PERIOD_LENGTH">TEHSHEET!$L$7:$L$9</definedName>
    <definedName name="PRD">Титульный!$AC$29</definedName>
    <definedName name="PRELOAD_F41_Calc_CHECK">TEHSHEET!$M$16</definedName>
    <definedName name="PRELOAD_F41_Calc_ORG_ID">TEHSHEET!$N$16</definedName>
    <definedName name="REGION_NAME">Титульный!$AC$24</definedName>
    <definedName name="REGIONS">TEHSHEET!$A$2:$A$15</definedName>
    <definedName name="REPORT_OWNER">Титульный!$AC$31</definedName>
    <definedName name="rngCopy">'ф.8.1 Журнал учета'!$29:$29</definedName>
    <definedName name="ruk_dol">Титульный!$AC$51</definedName>
    <definedName name="ruk_FIO">Титульный!$AC$50</definedName>
    <definedName name="selected_region">TEHSHEET!$F$7</definedName>
    <definedName name="Shema_TP">TEHSHEET!$H$51:$H$52</definedName>
    <definedName name="SphereList">TEHSHEET!$Q$8</definedName>
    <definedName name="SphereList_ru">TEHSHEET!$R$8</definedName>
    <definedName name="SpheresToLoadOrg_Options">OPTIONS!$A$3:$A$13</definedName>
    <definedName name="tariff_num">TEHSHEET!$K$2:$K$32</definedName>
    <definedName name="tblEnd_1_wsComs">Комментарии!$AC$24</definedName>
    <definedName name="tblEnd_1_wsDocs">'Сопроводительные материалы'!$AE$51</definedName>
    <definedName name="tblEnd_1_wsF13_AvgDuration">'ф.1.3 Ср.продолж.'!$AE$28</definedName>
    <definedName name="tblEnd_1_wsF19_Char">'ф.1.9 Характеристика'!$AJ$35</definedName>
    <definedName name="tblEnd_1_wsF21_IndInf">'ф.2.1 ИндИнф (Ин)'!$AI$50</definedName>
    <definedName name="tblEnd_1_wsF22_IndExec">'ф.2.2 ИндИспол (Ис)'!$AI$43</definedName>
    <definedName name="tblEnd_1_wsF23_IndRes">'ф.2.3 ИндРезульт (Рс)'!$AI$50</definedName>
    <definedName name="tblEnd_1_wsF42_Calc">'Форма 4.2 расч.'!$AL$34</definedName>
    <definedName name="tblEnd_1_wsF42_Calc2024">'Форма 4.2 расч. с 2024 г'!$AL$34</definedName>
    <definedName name="tblEnd_1_wsF81">'ф.8.1 Журнал учета'!$CE$242</definedName>
    <definedName name="tblEnd_1_wsF811_Report">'ф.8.1.1 Ведомость_свод'!$AV$38</definedName>
    <definedName name="tblEnd_1_wsF83_Indicat">'ф.8.3 Индикатив'!$AE$49</definedName>
    <definedName name="tblEnd_1_wsF831_Indicat">'ф.8.3.1 Индикатив'!$AE$43</definedName>
    <definedName name="tblEnd_1_wsF912">'Ф9.1Ф9.2'!$AM$35</definedName>
    <definedName name="tblEnd_2_wsF912">'Ф9.1Ф9.2'!$AK$49</definedName>
    <definedName name="tblHead_1_wsDocs">'Сопроводительные материалы'!$AB$24</definedName>
    <definedName name="tblHead_1_wsF13_AvgDuration">'ф.1.3 Ср.продолж.'!$AB$24</definedName>
    <definedName name="tblHead_1_wsF131_AvgDuration">'ф.1.3.1 Ср.продолж.'!$AB$24</definedName>
    <definedName name="tblHead_1_wsF19_Char">'ф.1.9 Характеристика'!$AB$24:$AB$26</definedName>
    <definedName name="tblHead_1_wsF21_IndInf">'ф.2.1 ИндИнф (Ин)'!$AB$24:$AB$26</definedName>
    <definedName name="tblHead_1_wsF22_IndExec">'ф.2.2 ИндИспол (Ис)'!$AB$24:$AB$26</definedName>
    <definedName name="tblHead_1_wsF23_IndRes">'ф.2.3 ИндРезульт (Рс)'!$AB$24:$AB$26</definedName>
    <definedName name="tblHead_1_wsF312_TechCon">'Ф.3.1Ф3.2 ПоказТехприс (Птпр)'!$AB$24</definedName>
    <definedName name="tblHead_1_wsF41_Calc">'Форма 4.1 расч.'!$AB$24</definedName>
    <definedName name="tblHead_1_wsF41_Calc2024">'Форма 4.1 расч. с 2024 г'!$AB$24</definedName>
    <definedName name="tblHead_1_wsF42_Calc">'Форма 4.2 расч.'!$AB$24</definedName>
    <definedName name="tblHead_1_wsF42_Calc2024">'Форма 4.2 расч. с 2024 г'!$AB$24</definedName>
    <definedName name="tblHead_1_wsF81">'ф.8.1 Журнал учета'!$AB$25:$AB$27</definedName>
    <definedName name="tblHead_1_wsF811_Report">'ф.8.1.1 Ведомость_свод'!$AB$24:$AB$26</definedName>
    <definedName name="tblHead_1_wsF83_Indicat">'ф.8.3 Индикатив'!$AB$24</definedName>
    <definedName name="tblHead_1_wsF831_Indicat">'ф.8.3.1 Индикатив'!$AB$24</definedName>
    <definedName name="tblHead_1_wsF912">'Ф9.1Ф9.2'!$AB$24:$AB$25</definedName>
    <definedName name="tblHead_1_wsTechCon_Contracts">'Договоры Техприс'!$AB$26:$AB$27</definedName>
    <definedName name="tblHead_1_wsTechCon_Reqs">'Заявки Техприс'!$AB$26:$AB$27</definedName>
    <definedName name="tblHead_1_wsTitle">Титульный!$AB$23</definedName>
    <definedName name="tblHead_2_wsF312_TechCon">'Ф.3.1Ф3.2 ПоказТехприс (Птпр)'!$AB$32:$AB$33</definedName>
    <definedName name="tblHead_2_wsF41_Calc">'Форма 4.1 расч.'!$AB$50</definedName>
    <definedName name="tblHead_2_wsF41_Calc2024">'Форма 4.1 расч. с 2024 г'!$AB$70</definedName>
    <definedName name="tblHead_2_wsF912">'Ф9.1Ф9.2'!$AB$39:$AB$40</definedName>
    <definedName name="tblHead_2_wsTechCon_Contracts">'Договоры Техприс'!$AB$35:$AB$37</definedName>
    <definedName name="tblHead_2_wsTechCon_Reqs">'Заявки Техприс'!$AB$35:$AB$36</definedName>
    <definedName name="tblHead_3_wsF312_TechCon">'Ф.3.1Ф3.2 ПоказТехприс (Птпр)'!$AB$41</definedName>
    <definedName name="tblStart_1_wsComs">Комментарии!$AC$23</definedName>
    <definedName name="tblStart_1_wsDocs">'Сопроводительные материалы'!$AD$26</definedName>
    <definedName name="tblStart_1_wsF13_AvgDuration">'ф.1.3 Ср.продолж.'!$AD$26</definedName>
    <definedName name="tblStart_1_wsF19_Char">'ф.1.9 Характеристика'!$AD$28</definedName>
    <definedName name="tblStart_1_wsF21_IndInf">'ф.2.1 ИндИнф (Ин)'!$AE$28</definedName>
    <definedName name="tblStart_1_wsF22_IndExec">'ф.2.2 ИндИспол (Ис)'!$AE$28</definedName>
    <definedName name="tblStart_1_wsF23_IndRes">'ф.2.3 ИндРезульт (Рс)'!$AE$28</definedName>
    <definedName name="tblStart_1_wsF42_Calc">'Форма 4.2 расч.'!$AD$26</definedName>
    <definedName name="tblStart_1_wsF42_Calc2024">'Форма 4.2 расч. с 2024 г'!$AD$26</definedName>
    <definedName name="tblStart_1_wsF81">'ф.8.1 Журнал учета'!$AD$29</definedName>
    <definedName name="tblStart_1_wsF811_Report">'ф.8.1.1 Ведомость_свод'!$AD$27</definedName>
    <definedName name="tblStart_1_wsF83_Indicat">'ф.8.3 Индикатив'!$AD$27</definedName>
    <definedName name="tblStart_1_wsF831_Indicat">'ф.8.3.1 Индикатив'!$AD$27</definedName>
    <definedName name="tblStart_1_wsF912">'Ф9.1Ф9.2'!$AD$27</definedName>
    <definedName name="tblStart_2_wsF912">'Ф9.1Ф9.2'!$AD$42</definedName>
    <definedName name="TemplateState">TEHSHEET!$C$14</definedName>
    <definedName name="TPL_VERSION">Титульный!$AC$63</definedName>
    <definedName name="TYPE_OBGECT">TEHSHEET!$T$2:$T$6</definedName>
    <definedName name="TYPE_TERMINATION">TEHSHEET!$U$2:$U$4</definedName>
    <definedName name="VERSION">Инструкция!$B$3</definedName>
    <definedName name="VID_END_EE">TEHSHEET!$W$2:$W$4</definedName>
    <definedName name="VID_OBJECT">TEHSHEET!$X$2:$X$7</definedName>
    <definedName name="YES_NO">TEHSHEET!$H$55:$H$56</definedName>
  </definedNames>
  <calcPr calcId="152511"/>
</workbook>
</file>

<file path=xl/calcChain.xml><?xml version="1.0" encoding="utf-8"?>
<calcChain xmlns="http://schemas.openxmlformats.org/spreadsheetml/2006/main">
  <c r="AF53" i="22" l="1"/>
  <c r="AD82" i="22"/>
  <c r="AE29" i="22" l="1"/>
  <c r="AD76" i="22"/>
  <c r="AF50" i="22"/>
  <c r="AD31" i="13" l="1"/>
  <c r="AK27" i="15" l="1"/>
  <c r="AD27" i="15"/>
  <c r="B23" i="27" l="1"/>
  <c r="AJ49" i="26"/>
  <c r="AI49" i="26"/>
  <c r="AE49" i="26"/>
  <c r="AD49" i="26" s="1"/>
  <c r="AJ48" i="26"/>
  <c r="AI48" i="26"/>
  <c r="AE48" i="26"/>
  <c r="AD48" i="26" s="1"/>
  <c r="AJ47" i="26"/>
  <c r="AE47" i="26"/>
  <c r="AK46" i="26"/>
  <c r="AI46" i="26" s="1"/>
  <c r="AJ46" i="26"/>
  <c r="AE46" i="26"/>
  <c r="AJ45" i="26"/>
  <c r="AE45" i="26"/>
  <c r="AK44" i="26"/>
  <c r="AI44" i="26" s="1"/>
  <c r="AJ44" i="26"/>
  <c r="AE44" i="26"/>
  <c r="AJ43" i="26"/>
  <c r="AE43" i="26"/>
  <c r="AK42" i="26"/>
  <c r="AI42" i="26" s="1"/>
  <c r="AJ42" i="26"/>
  <c r="AE42" i="26"/>
  <c r="AQ40" i="26"/>
  <c r="AP40" i="26"/>
  <c r="AJ35" i="26"/>
  <c r="AI35" i="26" s="1"/>
  <c r="AE35" i="26"/>
  <c r="AD35" i="26"/>
  <c r="AJ34" i="26"/>
  <c r="AE34" i="26"/>
  <c r="AJ33" i="26"/>
  <c r="AE33" i="26"/>
  <c r="AK32" i="26"/>
  <c r="AJ32" i="26"/>
  <c r="AE32" i="26"/>
  <c r="AK31" i="26"/>
  <c r="AI31" i="26" s="1"/>
  <c r="AJ31" i="26"/>
  <c r="AE31" i="26"/>
  <c r="AJ30" i="26"/>
  <c r="AE30" i="26"/>
  <c r="AL29" i="26"/>
  <c r="AJ29" i="26"/>
  <c r="AH29" i="26"/>
  <c r="AG29" i="26"/>
  <c r="AE29" i="26"/>
  <c r="AM28" i="26"/>
  <c r="AL28" i="26"/>
  <c r="AK28" i="26"/>
  <c r="AJ28" i="26"/>
  <c r="AH28" i="26"/>
  <c r="AG28" i="26"/>
  <c r="AE28" i="26"/>
  <c r="AL27" i="26"/>
  <c r="AK27" i="26"/>
  <c r="AI27" i="26" s="1"/>
  <c r="AJ27" i="26"/>
  <c r="AG27" i="26"/>
  <c r="AE27" i="26"/>
  <c r="AQ25" i="26"/>
  <c r="AP25" i="26"/>
  <c r="AB21" i="26"/>
  <c r="AM2" i="26"/>
  <c r="AL2" i="26"/>
  <c r="AK2" i="26"/>
  <c r="AJ2" i="26"/>
  <c r="AI2" i="26"/>
  <c r="AH37" i="25"/>
  <c r="AD37" i="25"/>
  <c r="AC37" i="25"/>
  <c r="AH30" i="25"/>
  <c r="AK34" i="26" s="1"/>
  <c r="AD30" i="25"/>
  <c r="AH24" i="25"/>
  <c r="AD24" i="25"/>
  <c r="AB21" i="25"/>
  <c r="AJ2" i="25"/>
  <c r="AI2" i="25"/>
  <c r="AH2" i="25"/>
  <c r="AE36" i="24"/>
  <c r="AD36" i="24"/>
  <c r="AC36" i="24"/>
  <c r="AE31" i="24"/>
  <c r="AD31" i="24"/>
  <c r="AB28" i="24"/>
  <c r="AB29" i="24" s="1"/>
  <c r="AB30" i="24" s="1"/>
  <c r="AB31" i="24" s="1"/>
  <c r="AB32" i="24" s="1"/>
  <c r="AB33" i="24" s="1"/>
  <c r="AB34" i="24" s="1"/>
  <c r="AB27" i="24"/>
  <c r="AL26" i="24"/>
  <c r="AE24" i="24"/>
  <c r="AD24" i="24"/>
  <c r="AB21" i="24"/>
  <c r="AL2" i="24"/>
  <c r="AK2" i="24"/>
  <c r="AJ2" i="24"/>
  <c r="AI2" i="24"/>
  <c r="AH2" i="24"/>
  <c r="AG2" i="24"/>
  <c r="AF2" i="24"/>
  <c r="AE2" i="24"/>
  <c r="AE36" i="23"/>
  <c r="AD36" i="23"/>
  <c r="AC36" i="23"/>
  <c r="AE31" i="23"/>
  <c r="AD31" i="23"/>
  <c r="AB27" i="23"/>
  <c r="AB28" i="23" s="1"/>
  <c r="AB29" i="23" s="1"/>
  <c r="AB30" i="23" s="1"/>
  <c r="AB31" i="23" s="1"/>
  <c r="AB32" i="23" s="1"/>
  <c r="AB33" i="23" s="1"/>
  <c r="AB34" i="23" s="1"/>
  <c r="AL26" i="23"/>
  <c r="AE24" i="23"/>
  <c r="AD24" i="23"/>
  <c r="AB21" i="23"/>
  <c r="AL2" i="23"/>
  <c r="AK2" i="23"/>
  <c r="AJ2" i="23"/>
  <c r="AI2" i="23"/>
  <c r="AH2" i="23"/>
  <c r="AG2" i="23"/>
  <c r="AF2" i="23"/>
  <c r="AE2" i="23"/>
  <c r="AG87" i="22"/>
  <c r="AF84" i="22"/>
  <c r="AF86" i="22" s="1"/>
  <c r="AF80" i="22"/>
  <c r="AF82" i="22" s="1"/>
  <c r="AF76" i="22"/>
  <c r="AF78" i="22" s="1"/>
  <c r="AG73" i="22"/>
  <c r="AG72" i="22" s="1"/>
  <c r="AE73" i="22"/>
  <c r="AE87" i="22" s="1"/>
  <c r="AE72" i="22"/>
  <c r="AG71" i="22"/>
  <c r="AE71" i="22"/>
  <c r="AG70" i="22"/>
  <c r="AF70" i="22"/>
  <c r="AE70" i="22"/>
  <c r="AD70" i="22"/>
  <c r="AD65" i="22"/>
  <c r="AC65" i="22"/>
  <c r="AI48" i="22"/>
  <c r="AH48" i="22"/>
  <c r="AI47" i="22"/>
  <c r="AH47" i="22"/>
  <c r="AI46" i="22"/>
  <c r="AH46" i="22"/>
  <c r="AI45" i="22"/>
  <c r="AH45" i="22"/>
  <c r="AI44" i="22"/>
  <c r="AH44" i="22"/>
  <c r="AI43" i="22"/>
  <c r="AH43" i="22"/>
  <c r="AI42" i="22"/>
  <c r="AH42" i="22"/>
  <c r="AI41" i="22"/>
  <c r="AF24" i="22"/>
  <c r="AE24" i="22"/>
  <c r="AB21" i="22"/>
  <c r="AG2" i="22"/>
  <c r="AF2" i="22"/>
  <c r="AF66" i="21"/>
  <c r="AF64" i="21"/>
  <c r="AD64" i="21"/>
  <c r="AD66" i="21" s="1"/>
  <c r="AD62" i="21"/>
  <c r="AF60" i="21"/>
  <c r="AF62" i="21" s="1"/>
  <c r="AD60" i="21"/>
  <c r="AF58" i="21"/>
  <c r="AF56" i="21"/>
  <c r="AD56" i="21"/>
  <c r="AD58" i="21" s="1"/>
  <c r="AB56" i="21"/>
  <c r="AB57" i="21" s="1"/>
  <c r="AB58" i="21" s="1"/>
  <c r="AB59" i="21" s="1"/>
  <c r="AB60" i="21" s="1"/>
  <c r="AB61" i="21" s="1"/>
  <c r="AB62" i="21" s="1"/>
  <c r="AB63" i="21" s="1"/>
  <c r="AB64" i="21" s="1"/>
  <c r="AB65" i="21" s="1"/>
  <c r="AB66" i="21" s="1"/>
  <c r="AB67" i="21" s="1"/>
  <c r="AG53" i="21"/>
  <c r="AE53" i="21"/>
  <c r="AB53" i="21"/>
  <c r="AB54" i="21" s="1"/>
  <c r="AB55" i="21" s="1"/>
  <c r="AE52" i="21"/>
  <c r="AG51" i="21"/>
  <c r="AG50" i="21"/>
  <c r="AF50" i="21"/>
  <c r="AE50" i="21"/>
  <c r="AD50" i="21"/>
  <c r="AD45" i="21"/>
  <c r="AC45" i="21"/>
  <c r="AB38" i="21"/>
  <c r="AB39" i="21" s="1"/>
  <c r="AB40" i="21" s="1"/>
  <c r="AB41" i="21" s="1"/>
  <c r="AB42" i="21" s="1"/>
  <c r="AB43" i="21" s="1"/>
  <c r="AB30" i="21"/>
  <c r="AB31" i="21" s="1"/>
  <c r="AB32" i="21" s="1"/>
  <c r="AB33" i="21" s="1"/>
  <c r="AB34" i="21" s="1"/>
  <c r="AB35" i="21" s="1"/>
  <c r="AB36" i="21" s="1"/>
  <c r="AB37" i="21" s="1"/>
  <c r="AB27" i="21"/>
  <c r="AB28" i="21" s="1"/>
  <c r="AB29" i="21" s="1"/>
  <c r="AF24" i="21"/>
  <c r="AE24" i="21"/>
  <c r="AB21" i="21"/>
  <c r="AG2" i="21"/>
  <c r="AF2" i="21"/>
  <c r="AD44" i="20"/>
  <c r="AC44" i="20"/>
  <c r="AH41" i="20"/>
  <c r="AG41" i="20"/>
  <c r="AF41" i="20"/>
  <c r="AE41" i="20"/>
  <c r="AH37" i="20"/>
  <c r="AE36" i="20"/>
  <c r="AE37" i="20" s="1"/>
  <c r="AF35" i="20"/>
  <c r="AF37" i="20"/>
  <c r="AH32" i="20"/>
  <c r="AG32" i="20"/>
  <c r="AF32" i="20"/>
  <c r="AE32" i="20"/>
  <c r="AB30" i="20"/>
  <c r="AH28" i="20"/>
  <c r="AE27" i="20"/>
  <c r="AE28" i="20" s="1"/>
  <c r="AG26" i="20"/>
  <c r="AF26" i="20"/>
  <c r="AH24" i="20"/>
  <c r="AG24" i="20"/>
  <c r="AF24" i="20"/>
  <c r="AE24" i="20"/>
  <c r="AB22" i="20"/>
  <c r="AB21" i="20"/>
  <c r="AH2" i="20"/>
  <c r="AG2" i="20"/>
  <c r="AF2" i="20"/>
  <c r="AE2" i="20"/>
  <c r="BI49" i="19"/>
  <c r="BH49" i="19"/>
  <c r="BE49" i="19"/>
  <c r="BG49" i="19" s="1"/>
  <c r="BD49" i="19"/>
  <c r="BC49" i="19"/>
  <c r="BB49" i="19"/>
  <c r="BA49" i="19"/>
  <c r="AZ49" i="19"/>
  <c r="AT49" i="19"/>
  <c r="BF49" i="19" s="1"/>
  <c r="AS49" i="19"/>
  <c r="AU49" i="19" s="1"/>
  <c r="AJ49" i="19"/>
  <c r="B49" i="19"/>
  <c r="BI46" i="19"/>
  <c r="BH46" i="19"/>
  <c r="BD46" i="19"/>
  <c r="BC46" i="19"/>
  <c r="BB46" i="19"/>
  <c r="BA46" i="19" s="1"/>
  <c r="AZ46" i="19"/>
  <c r="AU46" i="19"/>
  <c r="AT46" i="19"/>
  <c r="BF46" i="19" s="1"/>
  <c r="AS46" i="19"/>
  <c r="AJ46" i="19"/>
  <c r="B46" i="19"/>
  <c r="BI43" i="19"/>
  <c r="BH43" i="19"/>
  <c r="BE43" i="19"/>
  <c r="BD43" i="19"/>
  <c r="BC43" i="19"/>
  <c r="BB43" i="19"/>
  <c r="AZ43" i="19"/>
  <c r="AT43" i="19"/>
  <c r="AS43" i="19"/>
  <c r="AJ43" i="19"/>
  <c r="B43" i="19"/>
  <c r="BI40" i="19"/>
  <c r="BH40" i="19"/>
  <c r="BE40" i="19"/>
  <c r="BD40" i="19"/>
  <c r="BC40" i="19"/>
  <c r="BB40" i="19"/>
  <c r="BA40" i="19"/>
  <c r="AZ40" i="19"/>
  <c r="AT40" i="19"/>
  <c r="BF40" i="19" s="1"/>
  <c r="AS40" i="19"/>
  <c r="AJ40" i="19"/>
  <c r="B40" i="19"/>
  <c r="AB33" i="19"/>
  <c r="AB22" i="19"/>
  <c r="AB21" i="19"/>
  <c r="AC5" i="19"/>
  <c r="BI2" i="19"/>
  <c r="BH2" i="19"/>
  <c r="BG2" i="19"/>
  <c r="BF2" i="19"/>
  <c r="BE2" i="19"/>
  <c r="BD2" i="19"/>
  <c r="BC2" i="19"/>
  <c r="BB2" i="19"/>
  <c r="BA2" i="19"/>
  <c r="AZ2" i="19"/>
  <c r="BA48" i="18"/>
  <c r="AZ48" i="18"/>
  <c r="AW48" i="18"/>
  <c r="AV48" i="18"/>
  <c r="AU48" i="18"/>
  <c r="AX48" i="18" s="1"/>
  <c r="AY48" i="18" s="1"/>
  <c r="AP48" i="18"/>
  <c r="AO48" i="18"/>
  <c r="AN48" i="18"/>
  <c r="B48" i="18"/>
  <c r="BA45" i="18"/>
  <c r="AZ45" i="18"/>
  <c r="AX45" i="18"/>
  <c r="AY45" i="18" s="1"/>
  <c r="AW45" i="18"/>
  <c r="AV45" i="18"/>
  <c r="AU45" i="18"/>
  <c r="AP45" i="18"/>
  <c r="AO45" i="18"/>
  <c r="AN45" i="18"/>
  <c r="B45" i="18"/>
  <c r="BA42" i="18"/>
  <c r="AZ42" i="18"/>
  <c r="AV42" i="18"/>
  <c r="AU42" i="18"/>
  <c r="AX42" i="18" s="1"/>
  <c r="AO42" i="18"/>
  <c r="AP42" i="18" s="1"/>
  <c r="AN42" i="18"/>
  <c r="AW42" i="18" s="1"/>
  <c r="B42" i="18"/>
  <c r="BA39" i="18"/>
  <c r="AZ39" i="18"/>
  <c r="AV39" i="18"/>
  <c r="AU39" i="18"/>
  <c r="AX39" i="18" s="1"/>
  <c r="AO39" i="18"/>
  <c r="AN39" i="18"/>
  <c r="B39" i="18"/>
  <c r="AB33" i="18"/>
  <c r="AB24" i="18"/>
  <c r="AB22" i="18"/>
  <c r="AB21" i="18"/>
  <c r="AC5" i="18"/>
  <c r="BA2" i="18"/>
  <c r="AZ2" i="18"/>
  <c r="AY2" i="18"/>
  <c r="AX2" i="18"/>
  <c r="AW2" i="18"/>
  <c r="AV2" i="18"/>
  <c r="AU2" i="18"/>
  <c r="AD45" i="17"/>
  <c r="AC45" i="17"/>
  <c r="AD31" i="17"/>
  <c r="AD38" i="17" s="1"/>
  <c r="AD30" i="17"/>
  <c r="AD42" i="17" s="1"/>
  <c r="AD29" i="17"/>
  <c r="AD36" i="17" s="1"/>
  <c r="AD28" i="17"/>
  <c r="AD40" i="17" s="1"/>
  <c r="AE24" i="17"/>
  <c r="AD24" i="17"/>
  <c r="AB21" i="17"/>
  <c r="AE2" i="17"/>
  <c r="AD51" i="16"/>
  <c r="AC51" i="16"/>
  <c r="AE49" i="16"/>
  <c r="AD49" i="16"/>
  <c r="AD48" i="16"/>
  <c r="AD47" i="16"/>
  <c r="AE46" i="16"/>
  <c r="AD46" i="16"/>
  <c r="AD45" i="16"/>
  <c r="AD44" i="16"/>
  <c r="AD43" i="16"/>
  <c r="AD42" i="16"/>
  <c r="AE41" i="16"/>
  <c r="AD41" i="16"/>
  <c r="AE39" i="16"/>
  <c r="AD39" i="16"/>
  <c r="AD38" i="16"/>
  <c r="AD37" i="16"/>
  <c r="AE36" i="16"/>
  <c r="AD36" i="16"/>
  <c r="AD35" i="16"/>
  <c r="AE34" i="16"/>
  <c r="AD34" i="16"/>
  <c r="AD33" i="16"/>
  <c r="AE32" i="16"/>
  <c r="AD32" i="16"/>
  <c r="AE31" i="16"/>
  <c r="AE44" i="16" s="1"/>
  <c r="AE30" i="16"/>
  <c r="AE29" i="16"/>
  <c r="AE28" i="16"/>
  <c r="AD27" i="16"/>
  <c r="AD40" i="16" s="1"/>
  <c r="AE24" i="16"/>
  <c r="AD24" i="16"/>
  <c r="AB21" i="16"/>
  <c r="AE2" i="16"/>
  <c r="AU38" i="15"/>
  <c r="AS38" i="15"/>
  <c r="AR38" i="15"/>
  <c r="AQ38" i="15"/>
  <c r="AP38" i="15"/>
  <c r="AO38" i="15"/>
  <c r="AN38" i="15"/>
  <c r="AD38" i="15"/>
  <c r="AK38" i="15" s="1"/>
  <c r="AU37" i="15"/>
  <c r="AS37" i="15"/>
  <c r="AR37" i="15"/>
  <c r="AQ37" i="15"/>
  <c r="AP37" i="15"/>
  <c r="AO37" i="15"/>
  <c r="AN37" i="15"/>
  <c r="AD37" i="15"/>
  <c r="AK37" i="15" s="1"/>
  <c r="AU36" i="15"/>
  <c r="AS36" i="15"/>
  <c r="AR36" i="15"/>
  <c r="AQ36" i="15"/>
  <c r="AP36" i="15"/>
  <c r="AO36" i="15"/>
  <c r="AN36" i="15"/>
  <c r="AD36" i="15"/>
  <c r="AK36" i="15" s="1"/>
  <c r="AU35" i="15"/>
  <c r="AS35" i="15"/>
  <c r="AR35" i="15"/>
  <c r="AQ35" i="15"/>
  <c r="AP35" i="15"/>
  <c r="AO35" i="15"/>
  <c r="AN35" i="15"/>
  <c r="AD35" i="15"/>
  <c r="AK35" i="15" s="1"/>
  <c r="AU34" i="15"/>
  <c r="AS34" i="15"/>
  <c r="AR34" i="15"/>
  <c r="AQ34" i="15"/>
  <c r="AP34" i="15"/>
  <c r="AO34" i="15"/>
  <c r="AN34" i="15"/>
  <c r="AD34" i="15"/>
  <c r="AK34" i="15" s="1"/>
  <c r="AU33" i="15"/>
  <c r="AS33" i="15"/>
  <c r="AR33" i="15"/>
  <c r="AQ33" i="15"/>
  <c r="AP33" i="15"/>
  <c r="AO33" i="15"/>
  <c r="AN33" i="15"/>
  <c r="AD33" i="15"/>
  <c r="AK33" i="15" s="1"/>
  <c r="AU32" i="15"/>
  <c r="AS32" i="15"/>
  <c r="AR32" i="15"/>
  <c r="AQ32" i="15"/>
  <c r="AP32" i="15"/>
  <c r="AO32" i="15"/>
  <c r="AN32" i="15"/>
  <c r="AD32" i="15"/>
  <c r="AK32" i="15" s="1"/>
  <c r="AU31" i="15"/>
  <c r="AS31" i="15"/>
  <c r="AR31" i="15"/>
  <c r="AQ31" i="15"/>
  <c r="AP31" i="15"/>
  <c r="AO31" i="15"/>
  <c r="AN31" i="15"/>
  <c r="AD31" i="15"/>
  <c r="AK31" i="15" s="1"/>
  <c r="AU30" i="15"/>
  <c r="AS30" i="15"/>
  <c r="AR30" i="15"/>
  <c r="AQ30" i="15"/>
  <c r="AP30" i="15"/>
  <c r="AO30" i="15"/>
  <c r="AN30" i="15"/>
  <c r="AM30" i="15" s="1"/>
  <c r="AD30" i="15"/>
  <c r="AK30" i="15" s="1"/>
  <c r="AU29" i="15"/>
  <c r="AS29" i="15"/>
  <c r="AR29" i="15"/>
  <c r="AQ29" i="15"/>
  <c r="AP29" i="15"/>
  <c r="AO29" i="15"/>
  <c r="AN29" i="15"/>
  <c r="AD29" i="15"/>
  <c r="AK29" i="15" s="1"/>
  <c r="AU28" i="15"/>
  <c r="AS28" i="15"/>
  <c r="AR28" i="15"/>
  <c r="AQ28" i="15"/>
  <c r="AP28" i="15"/>
  <c r="AO28" i="15"/>
  <c r="AN28" i="15"/>
  <c r="AD28" i="15"/>
  <c r="AU27" i="15"/>
  <c r="AS27" i="15"/>
  <c r="AR27" i="15"/>
  <c r="AQ27" i="15"/>
  <c r="AP27" i="15"/>
  <c r="AO27" i="15"/>
  <c r="AN27" i="15"/>
  <c r="AB21" i="15"/>
  <c r="AU2" i="15"/>
  <c r="AT2" i="15"/>
  <c r="AS2" i="15"/>
  <c r="AR2" i="15"/>
  <c r="AQ2" i="15"/>
  <c r="AP2" i="15"/>
  <c r="AO2" i="15"/>
  <c r="AN2" i="15"/>
  <c r="AM2" i="15"/>
  <c r="AD244" i="14"/>
  <c r="AC244" i="14"/>
  <c r="AW242" i="14"/>
  <c r="AV242" i="14"/>
  <c r="AU242" i="14"/>
  <c r="AT242" i="14"/>
  <c r="AS242" i="14"/>
  <c r="AR242" i="14"/>
  <c r="AQ242" i="14"/>
  <c r="AP242" i="14"/>
  <c r="AO242" i="14"/>
  <c r="AN242" i="14"/>
  <c r="AJ242" i="14"/>
  <c r="AW241" i="14"/>
  <c r="AV241" i="14"/>
  <c r="AT241" i="14"/>
  <c r="AT238" i="14" s="1"/>
  <c r="AS241" i="14"/>
  <c r="AR241" i="14"/>
  <c r="AQ241" i="14"/>
  <c r="AP241" i="14"/>
  <c r="AP238" i="14" s="1"/>
  <c r="AO241" i="14"/>
  <c r="AJ241" i="14"/>
  <c r="AW240" i="14"/>
  <c r="AV240" i="14"/>
  <c r="AU240" i="14"/>
  <c r="AT240" i="14"/>
  <c r="AS240" i="14"/>
  <c r="AR240" i="14"/>
  <c r="AQ240" i="14"/>
  <c r="AP240" i="14"/>
  <c r="AO240" i="14"/>
  <c r="AN240" i="14"/>
  <c r="AJ240" i="14"/>
  <c r="AW239" i="14"/>
  <c r="AV239" i="14"/>
  <c r="AT239" i="14"/>
  <c r="AS239" i="14"/>
  <c r="AR239" i="14"/>
  <c r="AQ239" i="14"/>
  <c r="AP239" i="14"/>
  <c r="AO239" i="14"/>
  <c r="AJ239" i="14"/>
  <c r="CL236" i="14"/>
  <c r="CI236" i="14"/>
  <c r="CD236" i="14"/>
  <c r="CC236" i="14"/>
  <c r="CA236" i="14"/>
  <c r="BZ236" i="14"/>
  <c r="BY236" i="14"/>
  <c r="BX236" i="14"/>
  <c r="BW236" i="14"/>
  <c r="BV236" i="14"/>
  <c r="BT236" i="14"/>
  <c r="BS236" i="14"/>
  <c r="BR236" i="14"/>
  <c r="BQ236" i="14"/>
  <c r="BP236" i="14"/>
  <c r="BO236" i="14"/>
  <c r="BN236" i="14"/>
  <c r="BM236" i="14"/>
  <c r="BL236" i="14"/>
  <c r="BK236" i="14"/>
  <c r="BJ236" i="14"/>
  <c r="BI236" i="14"/>
  <c r="BH236" i="14"/>
  <c r="BG236" i="14"/>
  <c r="BF236" i="14"/>
  <c r="BE236" i="14"/>
  <c r="AN236" i="14"/>
  <c r="AU236" i="14" s="1"/>
  <c r="CQ235" i="14"/>
  <c r="CP235" i="14"/>
  <c r="CI235" i="14"/>
  <c r="CH235" i="14"/>
  <c r="CD235" i="14"/>
  <c r="CC235" i="14"/>
  <c r="CA235" i="14"/>
  <c r="BZ235" i="14"/>
  <c r="BY235" i="14"/>
  <c r="BX235" i="14"/>
  <c r="BW235" i="14"/>
  <c r="BV235" i="14"/>
  <c r="BT235" i="14"/>
  <c r="BS235" i="14"/>
  <c r="CO235" i="14" s="1"/>
  <c r="BR235" i="14"/>
  <c r="BQ235" i="14"/>
  <c r="BP235" i="14"/>
  <c r="BO235" i="14"/>
  <c r="BN235" i="14"/>
  <c r="BM235" i="14"/>
  <c r="BL235" i="14"/>
  <c r="BK235" i="14"/>
  <c r="BJ235" i="14"/>
  <c r="BI235" i="14"/>
  <c r="BH235" i="14"/>
  <c r="BG235" i="14"/>
  <c r="BF235" i="14"/>
  <c r="BE235" i="14"/>
  <c r="AN235" i="14"/>
  <c r="AU235" i="14" s="1"/>
  <c r="CQ234" i="14"/>
  <c r="CP234" i="14"/>
  <c r="CM234" i="14"/>
  <c r="CI234" i="14"/>
  <c r="CH234" i="14"/>
  <c r="CD234" i="14"/>
  <c r="CC234" i="14"/>
  <c r="CA234" i="14"/>
  <c r="BZ234" i="14"/>
  <c r="BY234" i="14"/>
  <c r="BX234" i="14"/>
  <c r="BW234" i="14"/>
  <c r="BV234" i="14"/>
  <c r="BT234" i="14"/>
  <c r="BS234" i="14"/>
  <c r="CO234" i="14" s="1"/>
  <c r="BR234" i="14"/>
  <c r="BQ234" i="14"/>
  <c r="BP234" i="14"/>
  <c r="BO234" i="14"/>
  <c r="BN234" i="14"/>
  <c r="BM234" i="14"/>
  <c r="BL234" i="14"/>
  <c r="BK234" i="14"/>
  <c r="BJ234" i="14"/>
  <c r="BI234" i="14"/>
  <c r="BH234" i="14"/>
  <c r="BG234" i="14"/>
  <c r="BF234" i="14"/>
  <c r="BE234" i="14"/>
  <c r="AN234" i="14"/>
  <c r="AU234" i="14" s="1"/>
  <c r="CD233" i="14"/>
  <c r="CC233" i="14"/>
  <c r="CA233" i="14"/>
  <c r="BZ233" i="14"/>
  <c r="BY233" i="14"/>
  <c r="BX233" i="14"/>
  <c r="BW233" i="14"/>
  <c r="BV233" i="14"/>
  <c r="BT233" i="14"/>
  <c r="BS233" i="14"/>
  <c r="BR233" i="14"/>
  <c r="BQ233" i="14"/>
  <c r="BO233" i="14"/>
  <c r="BN233" i="14"/>
  <c r="BM233" i="14"/>
  <c r="BL233" i="14"/>
  <c r="BK233" i="14"/>
  <c r="BJ233" i="14"/>
  <c r="BI233" i="14"/>
  <c r="BG233" i="14"/>
  <c r="BF233" i="14"/>
  <c r="BE233" i="14"/>
  <c r="AN233" i="14"/>
  <c r="AU233" i="14" s="1"/>
  <c r="BP233" i="14" s="1"/>
  <c r="CD232" i="14"/>
  <c r="CC232" i="14"/>
  <c r="CA232" i="14"/>
  <c r="BZ232" i="14"/>
  <c r="BY232" i="14"/>
  <c r="BX232" i="14"/>
  <c r="BW232" i="14"/>
  <c r="BV232" i="14"/>
  <c r="BT232" i="14"/>
  <c r="BS232" i="14"/>
  <c r="BR232" i="14"/>
  <c r="BQ232" i="14"/>
  <c r="BN232" i="14"/>
  <c r="BM232" i="14"/>
  <c r="BL232" i="14"/>
  <c r="BK232" i="14"/>
  <c r="BJ232" i="14"/>
  <c r="BI232" i="14"/>
  <c r="BF232" i="14"/>
  <c r="BE232" i="14"/>
  <c r="AN232" i="14"/>
  <c r="AU232" i="14" s="1"/>
  <c r="BP232" i="14" s="1"/>
  <c r="CD231" i="14"/>
  <c r="CC231" i="14"/>
  <c r="CA231" i="14"/>
  <c r="BZ231" i="14"/>
  <c r="BY231" i="14"/>
  <c r="BX231" i="14"/>
  <c r="BW231" i="14"/>
  <c r="BV231" i="14"/>
  <c r="BT231" i="14"/>
  <c r="BS231" i="14"/>
  <c r="BR231" i="14"/>
  <c r="BQ231" i="14"/>
  <c r="BN231" i="14"/>
  <c r="BM231" i="14"/>
  <c r="BL231" i="14"/>
  <c r="BK231" i="14"/>
  <c r="BJ231" i="14"/>
  <c r="BI231" i="14"/>
  <c r="BG231" i="14"/>
  <c r="BF231" i="14"/>
  <c r="BE231" i="14"/>
  <c r="AN231" i="14"/>
  <c r="AU231" i="14" s="1"/>
  <c r="BP231" i="14" s="1"/>
  <c r="CL230" i="14"/>
  <c r="CD230" i="14"/>
  <c r="CF230" i="14" s="1"/>
  <c r="CC230" i="14"/>
  <c r="CA230" i="14"/>
  <c r="BZ230" i="14"/>
  <c r="BY230" i="14"/>
  <c r="BX230" i="14"/>
  <c r="BW230" i="14"/>
  <c r="BU230" i="14" s="1"/>
  <c r="BV230" i="14"/>
  <c r="BT230" i="14"/>
  <c r="BS230" i="14"/>
  <c r="CJ230" i="14" s="1"/>
  <c r="BR230" i="14"/>
  <c r="BQ230" i="14"/>
  <c r="BN230" i="14"/>
  <c r="BM230" i="14"/>
  <c r="BL230" i="14"/>
  <c r="BK230" i="14"/>
  <c r="BJ230" i="14"/>
  <c r="BI230" i="14"/>
  <c r="BG230" i="14"/>
  <c r="BF230" i="14"/>
  <c r="BE230" i="14"/>
  <c r="AN230" i="14"/>
  <c r="AU230" i="14" s="1"/>
  <c r="BP230" i="14" s="1"/>
  <c r="CJ229" i="14"/>
  <c r="CI229" i="14"/>
  <c r="CD229" i="14"/>
  <c r="CC229" i="14"/>
  <c r="CA229" i="14"/>
  <c r="BZ229" i="14"/>
  <c r="BY229" i="14"/>
  <c r="BX229" i="14"/>
  <c r="BW229" i="14"/>
  <c r="BV229" i="14"/>
  <c r="BT229" i="14"/>
  <c r="BS229" i="14"/>
  <c r="CQ229" i="14" s="1"/>
  <c r="BR229" i="14"/>
  <c r="BQ229" i="14"/>
  <c r="BP229" i="14"/>
  <c r="BO229" i="14"/>
  <c r="BN229" i="14"/>
  <c r="BM229" i="14"/>
  <c r="BL229" i="14"/>
  <c r="BK229" i="14"/>
  <c r="BJ229" i="14"/>
  <c r="BI229" i="14"/>
  <c r="BH229" i="14"/>
  <c r="BG229" i="14"/>
  <c r="BF229" i="14"/>
  <c r="BE229" i="14"/>
  <c r="AN229" i="14"/>
  <c r="AU229" i="14" s="1"/>
  <c r="CD228" i="14"/>
  <c r="CG228" i="14" s="1"/>
  <c r="CC228" i="14"/>
  <c r="CA228" i="14"/>
  <c r="CO228" i="14" s="1"/>
  <c r="BZ228" i="14"/>
  <c r="BY228" i="14"/>
  <c r="BX228" i="14"/>
  <c r="BW228" i="14"/>
  <c r="BV228" i="14"/>
  <c r="BT228" i="14"/>
  <c r="BS228" i="14"/>
  <c r="BR228" i="14"/>
  <c r="BQ228" i="14"/>
  <c r="BN228" i="14"/>
  <c r="BM228" i="14"/>
  <c r="BL228" i="14"/>
  <c r="BK228" i="14"/>
  <c r="BJ228" i="14"/>
  <c r="BI228" i="14"/>
  <c r="BF228" i="14"/>
  <c r="BE228" i="14"/>
  <c r="AN228" i="14"/>
  <c r="BG228" i="14" s="1"/>
  <c r="CD227" i="14"/>
  <c r="CG227" i="14" s="1"/>
  <c r="CC227" i="14"/>
  <c r="CA227" i="14"/>
  <c r="CO227" i="14" s="1"/>
  <c r="BZ227" i="14"/>
  <c r="BY227" i="14"/>
  <c r="BX227" i="14"/>
  <c r="BW227" i="14"/>
  <c r="BV227" i="14"/>
  <c r="BT227" i="14"/>
  <c r="BS227" i="14"/>
  <c r="BR227" i="14"/>
  <c r="BQ227" i="14"/>
  <c r="BN227" i="14"/>
  <c r="BM227" i="14"/>
  <c r="BL227" i="14"/>
  <c r="BK227" i="14"/>
  <c r="BJ227" i="14"/>
  <c r="BI227" i="14"/>
  <c r="BF227" i="14"/>
  <c r="BE227" i="14"/>
  <c r="AN227" i="14"/>
  <c r="CD226" i="14"/>
  <c r="CG226" i="14" s="1"/>
  <c r="CC226" i="14"/>
  <c r="CA226" i="14"/>
  <c r="CO226" i="14" s="1"/>
  <c r="BZ226" i="14"/>
  <c r="BY226" i="14"/>
  <c r="BX226" i="14"/>
  <c r="BW226" i="14"/>
  <c r="BV226" i="14"/>
  <c r="BT226" i="14"/>
  <c r="BS226" i="14"/>
  <c r="BR226" i="14"/>
  <c r="BQ226" i="14"/>
  <c r="BN226" i="14"/>
  <c r="BM226" i="14"/>
  <c r="BL226" i="14"/>
  <c r="BK226" i="14"/>
  <c r="BJ226" i="14"/>
  <c r="BI226" i="14"/>
  <c r="BF226" i="14"/>
  <c r="BE226" i="14"/>
  <c r="AN226" i="14"/>
  <c r="BG226" i="14" s="1"/>
  <c r="CO225" i="14"/>
  <c r="CD225" i="14"/>
  <c r="CG225" i="14" s="1"/>
  <c r="CC225" i="14"/>
  <c r="CA225" i="14"/>
  <c r="BZ225" i="14"/>
  <c r="BY225" i="14"/>
  <c r="BX225" i="14"/>
  <c r="BU225" i="14" s="1"/>
  <c r="CB225" i="14" s="1"/>
  <c r="CP225" i="14" s="1"/>
  <c r="BW225" i="14"/>
  <c r="BV225" i="14"/>
  <c r="BT225" i="14"/>
  <c r="BS225" i="14"/>
  <c r="CN225" i="14" s="1"/>
  <c r="BR225" i="14"/>
  <c r="BQ225" i="14"/>
  <c r="BN225" i="14"/>
  <c r="BM225" i="14"/>
  <c r="BL225" i="14"/>
  <c r="BK225" i="14"/>
  <c r="BJ225" i="14"/>
  <c r="BI225" i="14"/>
  <c r="BF225" i="14"/>
  <c r="BE225" i="14"/>
  <c r="AN225" i="14"/>
  <c r="CG224" i="14"/>
  <c r="CD224" i="14"/>
  <c r="CC224" i="14"/>
  <c r="CA224" i="14"/>
  <c r="CO224" i="14" s="1"/>
  <c r="BZ224" i="14"/>
  <c r="BY224" i="14"/>
  <c r="BX224" i="14"/>
  <c r="BW224" i="14"/>
  <c r="BV224" i="14"/>
  <c r="BT224" i="14"/>
  <c r="BS224" i="14"/>
  <c r="BR224" i="14"/>
  <c r="BQ224" i="14"/>
  <c r="BN224" i="14"/>
  <c r="BM224" i="14"/>
  <c r="BL224" i="14"/>
  <c r="BK224" i="14"/>
  <c r="BJ224" i="14"/>
  <c r="BI224" i="14"/>
  <c r="BF224" i="14"/>
  <c r="BE224" i="14"/>
  <c r="AN224" i="14"/>
  <c r="BG224" i="14" s="1"/>
  <c r="CO223" i="14"/>
  <c r="CD223" i="14"/>
  <c r="CG223" i="14" s="1"/>
  <c r="CC223" i="14"/>
  <c r="CA223" i="14"/>
  <c r="BZ223" i="14"/>
  <c r="BY223" i="14"/>
  <c r="BX223" i="14"/>
  <c r="BU223" i="14" s="1"/>
  <c r="BW223" i="14"/>
  <c r="BV223" i="14"/>
  <c r="BT223" i="14"/>
  <c r="BS223" i="14"/>
  <c r="CN223" i="14" s="1"/>
  <c r="BR223" i="14"/>
  <c r="BQ223" i="14"/>
  <c r="BN223" i="14"/>
  <c r="BM223" i="14"/>
  <c r="BL223" i="14"/>
  <c r="BK223" i="14"/>
  <c r="BJ223" i="14"/>
  <c r="BI223" i="14"/>
  <c r="BF223" i="14"/>
  <c r="BE223" i="14"/>
  <c r="AN223" i="14"/>
  <c r="CD222" i="14"/>
  <c r="CG222" i="14" s="1"/>
  <c r="CC222" i="14"/>
  <c r="CA222" i="14"/>
  <c r="CO222" i="14" s="1"/>
  <c r="BZ222" i="14"/>
  <c r="BY222" i="14"/>
  <c r="BX222" i="14"/>
  <c r="BW222" i="14"/>
  <c r="BV222" i="14"/>
  <c r="BT222" i="14"/>
  <c r="BS222" i="14"/>
  <c r="CN222" i="14" s="1"/>
  <c r="BR222" i="14"/>
  <c r="BQ222" i="14"/>
  <c r="BN222" i="14"/>
  <c r="BM222" i="14"/>
  <c r="BL222" i="14"/>
  <c r="BK222" i="14"/>
  <c r="BJ222" i="14"/>
  <c r="BI222" i="14"/>
  <c r="BF222" i="14"/>
  <c r="BE222" i="14"/>
  <c r="AN222" i="14"/>
  <c r="BG222" i="14" s="1"/>
  <c r="CD221" i="14"/>
  <c r="CG221" i="14" s="1"/>
  <c r="CC221" i="14"/>
  <c r="CA221" i="14"/>
  <c r="CO221" i="14" s="1"/>
  <c r="BZ221" i="14"/>
  <c r="BY221" i="14"/>
  <c r="BX221" i="14"/>
  <c r="BW221" i="14"/>
  <c r="BV221" i="14"/>
  <c r="BT221" i="14"/>
  <c r="BS221" i="14"/>
  <c r="BR221" i="14"/>
  <c r="BQ221" i="14"/>
  <c r="BN221" i="14"/>
  <c r="BM221" i="14"/>
  <c r="BL221" i="14"/>
  <c r="BK221" i="14"/>
  <c r="BJ221" i="14"/>
  <c r="BI221" i="14"/>
  <c r="BF221" i="14"/>
  <c r="BE221" i="14"/>
  <c r="AN221" i="14"/>
  <c r="CO220" i="14"/>
  <c r="CD220" i="14"/>
  <c r="CG220" i="14" s="1"/>
  <c r="CC220" i="14"/>
  <c r="CA220" i="14"/>
  <c r="BZ220" i="14"/>
  <c r="BY220" i="14"/>
  <c r="BX220" i="14"/>
  <c r="BW220" i="14"/>
  <c r="BV220" i="14"/>
  <c r="BT220" i="14"/>
  <c r="BS220" i="14"/>
  <c r="CN220" i="14" s="1"/>
  <c r="BR220" i="14"/>
  <c r="BQ220" i="14"/>
  <c r="BN220" i="14"/>
  <c r="BM220" i="14"/>
  <c r="BL220" i="14"/>
  <c r="BK220" i="14"/>
  <c r="BJ220" i="14"/>
  <c r="BI220" i="14"/>
  <c r="BF220" i="14"/>
  <c r="BE220" i="14"/>
  <c r="AN220" i="14"/>
  <c r="BG220" i="14" s="1"/>
  <c r="CO219" i="14"/>
  <c r="CD219" i="14"/>
  <c r="CG219" i="14" s="1"/>
  <c r="CC219" i="14"/>
  <c r="CA219" i="14"/>
  <c r="BZ219" i="14"/>
  <c r="BY219" i="14"/>
  <c r="BX219" i="14"/>
  <c r="BU219" i="14" s="1"/>
  <c r="BW219" i="14"/>
  <c r="BV219" i="14"/>
  <c r="BT219" i="14"/>
  <c r="BS219" i="14"/>
  <c r="CN219" i="14" s="1"/>
  <c r="BR219" i="14"/>
  <c r="BQ219" i="14"/>
  <c r="BN219" i="14"/>
  <c r="BM219" i="14"/>
  <c r="BL219" i="14"/>
  <c r="BK219" i="14"/>
  <c r="BJ219" i="14"/>
  <c r="BI219" i="14"/>
  <c r="BG219" i="14"/>
  <c r="BF219" i="14"/>
  <c r="BE219" i="14"/>
  <c r="AN219" i="14"/>
  <c r="CO218" i="14"/>
  <c r="CD218" i="14"/>
  <c r="CG218" i="14" s="1"/>
  <c r="CC218" i="14"/>
  <c r="CA218" i="14"/>
  <c r="BZ218" i="14"/>
  <c r="BY218" i="14"/>
  <c r="BX218" i="14"/>
  <c r="BW218" i="14"/>
  <c r="BV218" i="14"/>
  <c r="BT218" i="14"/>
  <c r="BS218" i="14"/>
  <c r="CN218" i="14" s="1"/>
  <c r="BR218" i="14"/>
  <c r="BQ218" i="14"/>
  <c r="BN218" i="14"/>
  <c r="BM218" i="14"/>
  <c r="BL218" i="14"/>
  <c r="BK218" i="14"/>
  <c r="BJ218" i="14"/>
  <c r="BI218" i="14"/>
  <c r="BF218" i="14"/>
  <c r="BE218" i="14"/>
  <c r="AN218" i="14"/>
  <c r="BG218" i="14" s="1"/>
  <c r="CD217" i="14"/>
  <c r="CG217" i="14" s="1"/>
  <c r="CC217" i="14"/>
  <c r="CA217" i="14"/>
  <c r="CO217" i="14" s="1"/>
  <c r="BZ217" i="14"/>
  <c r="BY217" i="14"/>
  <c r="BX217" i="14"/>
  <c r="BW217" i="14"/>
  <c r="BV217" i="14"/>
  <c r="BT217" i="14"/>
  <c r="BS217" i="14"/>
  <c r="BR217" i="14"/>
  <c r="BQ217" i="14"/>
  <c r="BN217" i="14"/>
  <c r="BM217" i="14"/>
  <c r="BL217" i="14"/>
  <c r="BK217" i="14"/>
  <c r="BJ217" i="14"/>
  <c r="BI217" i="14"/>
  <c r="BG217" i="14"/>
  <c r="BF217" i="14"/>
  <c r="BE217" i="14"/>
  <c r="AN217" i="14"/>
  <c r="CO216" i="14"/>
  <c r="CD216" i="14"/>
  <c r="CG216" i="14" s="1"/>
  <c r="CC216" i="14"/>
  <c r="CA216" i="14"/>
  <c r="BZ216" i="14"/>
  <c r="BY216" i="14"/>
  <c r="BX216" i="14"/>
  <c r="BW216" i="14"/>
  <c r="BV216" i="14"/>
  <c r="BT216" i="14"/>
  <c r="BS216" i="14"/>
  <c r="CN216" i="14" s="1"/>
  <c r="BR216" i="14"/>
  <c r="BQ216" i="14"/>
  <c r="BN216" i="14"/>
  <c r="BM216" i="14"/>
  <c r="BL216" i="14"/>
  <c r="BK216" i="14"/>
  <c r="BJ216" i="14"/>
  <c r="BI216" i="14"/>
  <c r="BH216" i="14"/>
  <c r="BF216" i="14"/>
  <c r="BE216" i="14"/>
  <c r="AN216" i="14"/>
  <c r="BG216" i="14" s="1"/>
  <c r="CD215" i="14"/>
  <c r="CG215" i="14" s="1"/>
  <c r="CC215" i="14"/>
  <c r="CA215" i="14"/>
  <c r="CO215" i="14" s="1"/>
  <c r="BZ215" i="14"/>
  <c r="BY215" i="14"/>
  <c r="BX215" i="14"/>
  <c r="BW215" i="14"/>
  <c r="BV215" i="14"/>
  <c r="BT215" i="14"/>
  <c r="BS215" i="14"/>
  <c r="BR215" i="14"/>
  <c r="BQ215" i="14"/>
  <c r="BN215" i="14"/>
  <c r="BM215" i="14"/>
  <c r="BL215" i="14"/>
  <c r="BK215" i="14"/>
  <c r="BJ215" i="14"/>
  <c r="BI215" i="14"/>
  <c r="BG215" i="14"/>
  <c r="BF215" i="14"/>
  <c r="BE215" i="14"/>
  <c r="AN215" i="14"/>
  <c r="CO214" i="14"/>
  <c r="CD214" i="14"/>
  <c r="CG214" i="14" s="1"/>
  <c r="CC214" i="14"/>
  <c r="CA214" i="14"/>
  <c r="BZ214" i="14"/>
  <c r="BY214" i="14"/>
  <c r="BX214" i="14"/>
  <c r="BW214" i="14"/>
  <c r="BV214" i="14"/>
  <c r="BT214" i="14"/>
  <c r="BS214" i="14"/>
  <c r="CN214" i="14" s="1"/>
  <c r="BR214" i="14"/>
  <c r="BQ214" i="14"/>
  <c r="BN214" i="14"/>
  <c r="BM214" i="14"/>
  <c r="BL214" i="14"/>
  <c r="BK214" i="14"/>
  <c r="BJ214" i="14"/>
  <c r="BI214" i="14"/>
  <c r="BF214" i="14"/>
  <c r="BE214" i="14"/>
  <c r="AN214" i="14"/>
  <c r="BG214" i="14" s="1"/>
  <c r="CP213" i="14"/>
  <c r="CO213" i="14"/>
  <c r="CH213" i="14"/>
  <c r="CD213" i="14"/>
  <c r="CG213" i="14" s="1"/>
  <c r="CC213" i="14"/>
  <c r="CA213" i="14"/>
  <c r="BZ213" i="14"/>
  <c r="BY213" i="14"/>
  <c r="BX213" i="14"/>
  <c r="BU213" i="14" s="1"/>
  <c r="CB213" i="14" s="1"/>
  <c r="BW213" i="14"/>
  <c r="BV213" i="14"/>
  <c r="BT213" i="14"/>
  <c r="BS213" i="14"/>
  <c r="CN213" i="14" s="1"/>
  <c r="BR213" i="14"/>
  <c r="BQ213" i="14"/>
  <c r="BP213" i="14"/>
  <c r="BO213" i="14"/>
  <c r="BN213" i="14"/>
  <c r="BM213" i="14"/>
  <c r="BL213" i="14"/>
  <c r="BK213" i="14"/>
  <c r="BJ213" i="14"/>
  <c r="BI213" i="14"/>
  <c r="BH213" i="14"/>
  <c r="BG213" i="14"/>
  <c r="BF213" i="14"/>
  <c r="BE213" i="14"/>
  <c r="AN213" i="14"/>
  <c r="AU213" i="14" s="1"/>
  <c r="CO212" i="14"/>
  <c r="CD212" i="14"/>
  <c r="CG212" i="14" s="1"/>
  <c r="CC212" i="14"/>
  <c r="CA212" i="14"/>
  <c r="BZ212" i="14"/>
  <c r="BY212" i="14"/>
  <c r="BX212" i="14"/>
  <c r="BW212" i="14"/>
  <c r="BV212" i="14"/>
  <c r="BT212" i="14"/>
  <c r="BS212" i="14"/>
  <c r="CN212" i="14" s="1"/>
  <c r="BR212" i="14"/>
  <c r="BQ212" i="14"/>
  <c r="BN212" i="14"/>
  <c r="BM212" i="14"/>
  <c r="BL212" i="14"/>
  <c r="BK212" i="14"/>
  <c r="BJ212" i="14"/>
  <c r="BI212" i="14"/>
  <c r="BF212" i="14"/>
  <c r="BE212" i="14"/>
  <c r="AN212" i="14"/>
  <c r="BG212" i="14" s="1"/>
  <c r="CG211" i="14"/>
  <c r="CD211" i="14"/>
  <c r="CC211" i="14"/>
  <c r="CA211" i="14"/>
  <c r="CO211" i="14" s="1"/>
  <c r="BZ211" i="14"/>
  <c r="BY211" i="14"/>
  <c r="BX211" i="14"/>
  <c r="BW211" i="14"/>
  <c r="BV211" i="14"/>
  <c r="BT211" i="14"/>
  <c r="BS211" i="14"/>
  <c r="BR211" i="14"/>
  <c r="BQ211" i="14"/>
  <c r="BN211" i="14"/>
  <c r="BM211" i="14"/>
  <c r="BL211" i="14"/>
  <c r="BK211" i="14"/>
  <c r="BJ211" i="14"/>
  <c r="BI211" i="14"/>
  <c r="BF211" i="14"/>
  <c r="BE211" i="14"/>
  <c r="AN211" i="14"/>
  <c r="CO210" i="14"/>
  <c r="CD210" i="14"/>
  <c r="CG210" i="14" s="1"/>
  <c r="CC210" i="14"/>
  <c r="CA210" i="14"/>
  <c r="BZ210" i="14"/>
  <c r="BY210" i="14"/>
  <c r="BX210" i="14"/>
  <c r="BW210" i="14"/>
  <c r="BV210" i="14"/>
  <c r="BT210" i="14"/>
  <c r="BS210" i="14"/>
  <c r="CN210" i="14" s="1"/>
  <c r="BR210" i="14"/>
  <c r="BQ210" i="14"/>
  <c r="BN210" i="14"/>
  <c r="BM210" i="14"/>
  <c r="BL210" i="14"/>
  <c r="BK210" i="14"/>
  <c r="BJ210" i="14"/>
  <c r="BI210" i="14"/>
  <c r="BF210" i="14"/>
  <c r="BE210" i="14"/>
  <c r="AN210" i="14"/>
  <c r="BG210" i="14" s="1"/>
  <c r="CO209" i="14"/>
  <c r="CD209" i="14"/>
  <c r="CG209" i="14" s="1"/>
  <c r="CC209" i="14"/>
  <c r="CA209" i="14"/>
  <c r="BZ209" i="14"/>
  <c r="BY209" i="14"/>
  <c r="BX209" i="14"/>
  <c r="BU209" i="14" s="1"/>
  <c r="BW209" i="14"/>
  <c r="BV209" i="14"/>
  <c r="BT209" i="14"/>
  <c r="BS209" i="14"/>
  <c r="CN209" i="14" s="1"/>
  <c r="BR209" i="14"/>
  <c r="BQ209" i="14"/>
  <c r="BN209" i="14"/>
  <c r="BM209" i="14"/>
  <c r="BL209" i="14"/>
  <c r="BK209" i="14"/>
  <c r="BJ209" i="14"/>
  <c r="BI209" i="14"/>
  <c r="BG209" i="14"/>
  <c r="BF209" i="14"/>
  <c r="BE209" i="14"/>
  <c r="AN209" i="14"/>
  <c r="CO208" i="14"/>
  <c r="CD208" i="14"/>
  <c r="CG208" i="14" s="1"/>
  <c r="CC208" i="14"/>
  <c r="CA208" i="14"/>
  <c r="BZ208" i="14"/>
  <c r="BY208" i="14"/>
  <c r="BX208" i="14"/>
  <c r="BW208" i="14"/>
  <c r="BV208" i="14"/>
  <c r="BT208" i="14"/>
  <c r="BS208" i="14"/>
  <c r="BR208" i="14"/>
  <c r="BQ208" i="14"/>
  <c r="BN208" i="14"/>
  <c r="BM208" i="14"/>
  <c r="BL208" i="14"/>
  <c r="BK208" i="14"/>
  <c r="BJ208" i="14"/>
  <c r="BI208" i="14"/>
  <c r="BF208" i="14"/>
  <c r="BE208" i="14"/>
  <c r="AN208" i="14"/>
  <c r="BG208" i="14" s="1"/>
  <c r="CD207" i="14"/>
  <c r="CC207" i="14"/>
  <c r="CA207" i="14"/>
  <c r="BZ207" i="14"/>
  <c r="BY207" i="14"/>
  <c r="CK207" i="14" s="1"/>
  <c r="BX207" i="14"/>
  <c r="BU207" i="14" s="1"/>
  <c r="CB207" i="14" s="1"/>
  <c r="BW207" i="14"/>
  <c r="BV207" i="14"/>
  <c r="BT207" i="14"/>
  <c r="BS207" i="14"/>
  <c r="CO207" i="14" s="1"/>
  <c r="BR207" i="14"/>
  <c r="BQ207" i="14"/>
  <c r="BN207" i="14"/>
  <c r="BM207" i="14"/>
  <c r="BL207" i="14"/>
  <c r="BK207" i="14"/>
  <c r="BJ207" i="14"/>
  <c r="BI207" i="14"/>
  <c r="BF207" i="14"/>
  <c r="BE207" i="14"/>
  <c r="AN207" i="14"/>
  <c r="BH207" i="14" s="1"/>
  <c r="CD206" i="14"/>
  <c r="CC206" i="14"/>
  <c r="CA206" i="14"/>
  <c r="BZ206" i="14"/>
  <c r="BY206" i="14"/>
  <c r="BX206" i="14"/>
  <c r="BU206" i="14" s="1"/>
  <c r="BW206" i="14"/>
  <c r="BV206" i="14"/>
  <c r="BT206" i="14"/>
  <c r="BS206" i="14"/>
  <c r="CK206" i="14" s="1"/>
  <c r="BR206" i="14"/>
  <c r="BQ206" i="14"/>
  <c r="BN206" i="14"/>
  <c r="BM206" i="14"/>
  <c r="BL206" i="14"/>
  <c r="BK206" i="14"/>
  <c r="BJ206" i="14"/>
  <c r="BI206" i="14"/>
  <c r="BG206" i="14"/>
  <c r="BF206" i="14"/>
  <c r="BE206" i="14"/>
  <c r="AN206" i="14"/>
  <c r="CD205" i="14"/>
  <c r="CG205" i="14" s="1"/>
  <c r="CC205" i="14"/>
  <c r="CA205" i="14"/>
  <c r="BZ205" i="14"/>
  <c r="BY205" i="14"/>
  <c r="BX205" i="14"/>
  <c r="BU205" i="14" s="1"/>
  <c r="BW205" i="14"/>
  <c r="BV205" i="14"/>
  <c r="BT205" i="14"/>
  <c r="BS205" i="14"/>
  <c r="BR205" i="14"/>
  <c r="BQ205" i="14"/>
  <c r="BN205" i="14"/>
  <c r="BM205" i="14"/>
  <c r="BL205" i="14"/>
  <c r="BK205" i="14"/>
  <c r="BJ205" i="14"/>
  <c r="BI205" i="14"/>
  <c r="BF205" i="14"/>
  <c r="BE205" i="14"/>
  <c r="AN205" i="14"/>
  <c r="BG205" i="14" s="1"/>
  <c r="CP204" i="14"/>
  <c r="CO204" i="14"/>
  <c r="CH204" i="14"/>
  <c r="CG204" i="14"/>
  <c r="CD204" i="14"/>
  <c r="CC204" i="14"/>
  <c r="CA204" i="14"/>
  <c r="BZ204" i="14"/>
  <c r="BY204" i="14"/>
  <c r="BX204" i="14"/>
  <c r="BW204" i="14"/>
  <c r="BV204" i="14"/>
  <c r="BT204" i="14"/>
  <c r="BS204" i="14"/>
  <c r="BR204" i="14"/>
  <c r="BQ204" i="14"/>
  <c r="BP204" i="14"/>
  <c r="BO204" i="14"/>
  <c r="BN204" i="14"/>
  <c r="BM204" i="14"/>
  <c r="BL204" i="14"/>
  <c r="BK204" i="14"/>
  <c r="BJ204" i="14"/>
  <c r="BI204" i="14"/>
  <c r="BH204" i="14"/>
  <c r="BG204" i="14"/>
  <c r="BF204" i="14"/>
  <c r="BE204" i="14"/>
  <c r="AN204" i="14"/>
  <c r="AU204" i="14" s="1"/>
  <c r="CD203" i="14"/>
  <c r="CC203" i="14"/>
  <c r="CA203" i="14"/>
  <c r="BZ203" i="14"/>
  <c r="BY203" i="14"/>
  <c r="BX203" i="14"/>
  <c r="BU203" i="14" s="1"/>
  <c r="BW203" i="14"/>
  <c r="BV203" i="14"/>
  <c r="BT203" i="14"/>
  <c r="BS203" i="14"/>
  <c r="BR203" i="14"/>
  <c r="BQ203" i="14"/>
  <c r="BP203" i="14"/>
  <c r="BO203" i="14"/>
  <c r="BN203" i="14"/>
  <c r="BM203" i="14"/>
  <c r="BL203" i="14"/>
  <c r="BK203" i="14"/>
  <c r="BJ203" i="14"/>
  <c r="BI203" i="14"/>
  <c r="BH203" i="14"/>
  <c r="BG203" i="14"/>
  <c r="BF203" i="14"/>
  <c r="BE203" i="14"/>
  <c r="AN203" i="14"/>
  <c r="AU203" i="14" s="1"/>
  <c r="CD202" i="14"/>
  <c r="CC202" i="14"/>
  <c r="CA202" i="14"/>
  <c r="BZ202" i="14"/>
  <c r="BY202" i="14"/>
  <c r="BX202" i="14"/>
  <c r="BW202" i="14"/>
  <c r="BV202" i="14"/>
  <c r="BT202" i="14"/>
  <c r="BS202" i="14"/>
  <c r="BR202" i="14"/>
  <c r="BQ202" i="14"/>
  <c r="BN202" i="14"/>
  <c r="BM202" i="14"/>
  <c r="BL202" i="14"/>
  <c r="BK202" i="14"/>
  <c r="BJ202" i="14"/>
  <c r="BI202" i="14"/>
  <c r="BF202" i="14"/>
  <c r="BE202" i="14"/>
  <c r="AN202" i="14"/>
  <c r="BG202" i="14" s="1"/>
  <c r="CG201" i="14"/>
  <c r="CD201" i="14"/>
  <c r="CC201" i="14"/>
  <c r="CA201" i="14"/>
  <c r="BZ201" i="14"/>
  <c r="BY201" i="14"/>
  <c r="BX201" i="14"/>
  <c r="BW201" i="14"/>
  <c r="BV201" i="14"/>
  <c r="BT201" i="14"/>
  <c r="BS201" i="14"/>
  <c r="BR201" i="14"/>
  <c r="BQ201" i="14"/>
  <c r="BN201" i="14"/>
  <c r="BM201" i="14"/>
  <c r="BL201" i="14"/>
  <c r="BK201" i="14"/>
  <c r="BJ201" i="14"/>
  <c r="BI201" i="14"/>
  <c r="BG201" i="14"/>
  <c r="BF201" i="14"/>
  <c r="BE201" i="14"/>
  <c r="AN201" i="14"/>
  <c r="CO200" i="14"/>
  <c r="CG200" i="14"/>
  <c r="CD200" i="14"/>
  <c r="CC200" i="14"/>
  <c r="CA200" i="14"/>
  <c r="BZ200" i="14"/>
  <c r="BY200" i="14"/>
  <c r="BX200" i="14"/>
  <c r="BW200" i="14"/>
  <c r="BV200" i="14"/>
  <c r="BT200" i="14"/>
  <c r="BS200" i="14"/>
  <c r="BR200" i="14"/>
  <c r="BQ200" i="14"/>
  <c r="BN200" i="14"/>
  <c r="BM200" i="14"/>
  <c r="BL200" i="14"/>
  <c r="BK200" i="14"/>
  <c r="BJ200" i="14"/>
  <c r="BI200" i="14"/>
  <c r="BH200" i="14"/>
  <c r="BF200" i="14"/>
  <c r="BE200" i="14"/>
  <c r="AN200" i="14"/>
  <c r="BG200" i="14" s="1"/>
  <c r="CD199" i="14"/>
  <c r="CC199" i="14"/>
  <c r="CA199" i="14"/>
  <c r="BZ199" i="14"/>
  <c r="BY199" i="14"/>
  <c r="BX199" i="14"/>
  <c r="BW199" i="14"/>
  <c r="BV199" i="14"/>
  <c r="BT199" i="14"/>
  <c r="BS199" i="14"/>
  <c r="BR199" i="14"/>
  <c r="BQ199" i="14"/>
  <c r="BN199" i="14"/>
  <c r="BM199" i="14"/>
  <c r="BL199" i="14"/>
  <c r="BK199" i="14"/>
  <c r="BJ199" i="14"/>
  <c r="BI199" i="14"/>
  <c r="BF199" i="14"/>
  <c r="BE199" i="14"/>
  <c r="AN199" i="14"/>
  <c r="CD198" i="14"/>
  <c r="CC198" i="14"/>
  <c r="CA198" i="14"/>
  <c r="BZ198" i="14"/>
  <c r="BY198" i="14"/>
  <c r="BX198" i="14"/>
  <c r="BW198" i="14"/>
  <c r="BV198" i="14"/>
  <c r="BT198" i="14"/>
  <c r="BS198" i="14"/>
  <c r="BR198" i="14"/>
  <c r="BQ198" i="14"/>
  <c r="BN198" i="14"/>
  <c r="BM198" i="14"/>
  <c r="BL198" i="14"/>
  <c r="BK198" i="14"/>
  <c r="BJ198" i="14"/>
  <c r="BI198" i="14"/>
  <c r="BF198" i="14"/>
  <c r="BE198" i="14"/>
  <c r="AN198" i="14"/>
  <c r="BG198" i="14" s="1"/>
  <c r="CD197" i="14"/>
  <c r="CG197" i="14" s="1"/>
  <c r="CC197" i="14"/>
  <c r="CA197" i="14"/>
  <c r="BZ197" i="14"/>
  <c r="BY197" i="14"/>
  <c r="BX197" i="14"/>
  <c r="BW197" i="14"/>
  <c r="BV197" i="14"/>
  <c r="BT197" i="14"/>
  <c r="BS197" i="14"/>
  <c r="BR197" i="14"/>
  <c r="BQ197" i="14"/>
  <c r="BN197" i="14"/>
  <c r="BM197" i="14"/>
  <c r="BL197" i="14"/>
  <c r="BK197" i="14"/>
  <c r="BJ197" i="14"/>
  <c r="BI197" i="14"/>
  <c r="BF197" i="14"/>
  <c r="BE197" i="14"/>
  <c r="AN197" i="14"/>
  <c r="BG197" i="14" s="1"/>
  <c r="CO196" i="14"/>
  <c r="CG196" i="14"/>
  <c r="CD196" i="14"/>
  <c r="CC196" i="14"/>
  <c r="CA196" i="14"/>
  <c r="BZ196" i="14"/>
  <c r="BY196" i="14"/>
  <c r="BX196" i="14"/>
  <c r="BU196" i="14" s="1"/>
  <c r="BW196" i="14"/>
  <c r="BV196" i="14"/>
  <c r="BT196" i="14"/>
  <c r="BS196" i="14"/>
  <c r="BR196" i="14"/>
  <c r="BQ196" i="14"/>
  <c r="BN196" i="14"/>
  <c r="BM196" i="14"/>
  <c r="BL196" i="14"/>
  <c r="BK196" i="14"/>
  <c r="BJ196" i="14"/>
  <c r="BI196" i="14"/>
  <c r="BF196" i="14"/>
  <c r="BE196" i="14"/>
  <c r="AN196" i="14"/>
  <c r="BH196" i="14" s="1"/>
  <c r="CD195" i="14"/>
  <c r="CC195" i="14"/>
  <c r="CA195" i="14"/>
  <c r="CO195" i="14" s="1"/>
  <c r="BZ195" i="14"/>
  <c r="BY195" i="14"/>
  <c r="CK195" i="14" s="1"/>
  <c r="BX195" i="14"/>
  <c r="BU195" i="14" s="1"/>
  <c r="CB195" i="14" s="1"/>
  <c r="BW195" i="14"/>
  <c r="BV195" i="14"/>
  <c r="BT195" i="14"/>
  <c r="BS195" i="14"/>
  <c r="BR195" i="14"/>
  <c r="BQ195" i="14"/>
  <c r="BN195" i="14"/>
  <c r="BM195" i="14"/>
  <c r="BL195" i="14"/>
  <c r="BK195" i="14"/>
  <c r="BJ195" i="14"/>
  <c r="BI195" i="14"/>
  <c r="BF195" i="14"/>
  <c r="BE195" i="14"/>
  <c r="AN195" i="14"/>
  <c r="AU195" i="14" s="1"/>
  <c r="CD194" i="14"/>
  <c r="CC194" i="14"/>
  <c r="CA194" i="14"/>
  <c r="BZ194" i="14"/>
  <c r="BY194" i="14"/>
  <c r="CK194" i="14" s="1"/>
  <c r="BX194" i="14"/>
  <c r="BW194" i="14"/>
  <c r="BV194" i="14"/>
  <c r="BT194" i="14"/>
  <c r="BS194" i="14"/>
  <c r="BR194" i="14"/>
  <c r="BQ194" i="14"/>
  <c r="BN194" i="14"/>
  <c r="BM194" i="14"/>
  <c r="BL194" i="14"/>
  <c r="BK194" i="14"/>
  <c r="BJ194" i="14"/>
  <c r="BI194" i="14"/>
  <c r="BF194" i="14"/>
  <c r="BE194" i="14"/>
  <c r="AN194" i="14"/>
  <c r="BH194" i="14" s="1"/>
  <c r="CG193" i="14"/>
  <c r="CD193" i="14"/>
  <c r="CC193" i="14"/>
  <c r="CA193" i="14"/>
  <c r="BZ193" i="14"/>
  <c r="BY193" i="14"/>
  <c r="BX193" i="14"/>
  <c r="BW193" i="14"/>
  <c r="BV193" i="14"/>
  <c r="BT193" i="14"/>
  <c r="BS193" i="14"/>
  <c r="BR193" i="14"/>
  <c r="BQ193" i="14"/>
  <c r="BN193" i="14"/>
  <c r="BM193" i="14"/>
  <c r="BL193" i="14"/>
  <c r="BK193" i="14"/>
  <c r="BJ193" i="14"/>
  <c r="BI193" i="14"/>
  <c r="BF193" i="14"/>
  <c r="BE193" i="14"/>
  <c r="AU193" i="14"/>
  <c r="BO193" i="14" s="1"/>
  <c r="AN193" i="14"/>
  <c r="BG193" i="14" s="1"/>
  <c r="CP192" i="14"/>
  <c r="CO192" i="14"/>
  <c r="CH192" i="14"/>
  <c r="CD192" i="14"/>
  <c r="CG192" i="14" s="1"/>
  <c r="CC192" i="14"/>
  <c r="CA192" i="14"/>
  <c r="BZ192" i="14"/>
  <c r="BY192" i="14"/>
  <c r="BX192" i="14"/>
  <c r="BW192" i="14"/>
  <c r="BV192" i="14"/>
  <c r="BT192" i="14"/>
  <c r="BS192" i="14"/>
  <c r="BR192" i="14"/>
  <c r="BQ192" i="14"/>
  <c r="BP192" i="14"/>
  <c r="BO192" i="14"/>
  <c r="BN192" i="14"/>
  <c r="BM192" i="14"/>
  <c r="BL192" i="14"/>
  <c r="BK192" i="14"/>
  <c r="BJ192" i="14"/>
  <c r="BI192" i="14"/>
  <c r="BH192" i="14"/>
  <c r="BG192" i="14"/>
  <c r="BF192" i="14"/>
  <c r="BE192" i="14"/>
  <c r="AN192" i="14"/>
  <c r="AU192" i="14" s="1"/>
  <c r="CK191" i="14"/>
  <c r="CD191" i="14"/>
  <c r="CC191" i="14"/>
  <c r="CA191" i="14"/>
  <c r="BZ191" i="14"/>
  <c r="BY191" i="14"/>
  <c r="BX191" i="14"/>
  <c r="BW191" i="14"/>
  <c r="BV191" i="14"/>
  <c r="BT191" i="14"/>
  <c r="BS191" i="14"/>
  <c r="BR191" i="14"/>
  <c r="BQ191" i="14"/>
  <c r="BN191" i="14"/>
  <c r="BM191" i="14"/>
  <c r="BL191" i="14"/>
  <c r="BK191" i="14"/>
  <c r="BJ191" i="14"/>
  <c r="BI191" i="14"/>
  <c r="BF191" i="14"/>
  <c r="BE191" i="14"/>
  <c r="AN191" i="14"/>
  <c r="BG191" i="14" s="1"/>
  <c r="CD190" i="14"/>
  <c r="CC190" i="14"/>
  <c r="BU190" i="14" s="1"/>
  <c r="CB190" i="14" s="1"/>
  <c r="CA190" i="14"/>
  <c r="BZ190" i="14"/>
  <c r="BY190" i="14"/>
  <c r="BX190" i="14"/>
  <c r="BW190" i="14"/>
  <c r="BV190" i="14"/>
  <c r="BT190" i="14"/>
  <c r="BS190" i="14"/>
  <c r="BR190" i="14"/>
  <c r="BQ190" i="14"/>
  <c r="BN190" i="14"/>
  <c r="BM190" i="14"/>
  <c r="BL190" i="14"/>
  <c r="BK190" i="14"/>
  <c r="BJ190" i="14"/>
  <c r="BI190" i="14"/>
  <c r="BF190" i="14"/>
  <c r="BE190" i="14"/>
  <c r="AN190" i="14"/>
  <c r="BG190" i="14" s="1"/>
  <c r="CD189" i="14"/>
  <c r="CC189" i="14"/>
  <c r="CA189" i="14"/>
  <c r="BZ189" i="14"/>
  <c r="BY189" i="14"/>
  <c r="CK189" i="14" s="1"/>
  <c r="BX189" i="14"/>
  <c r="BW189" i="14"/>
  <c r="BV189" i="14"/>
  <c r="BT189" i="14"/>
  <c r="BS189" i="14"/>
  <c r="BR189" i="14"/>
  <c r="BQ189" i="14"/>
  <c r="BN189" i="14"/>
  <c r="BM189" i="14"/>
  <c r="BL189" i="14"/>
  <c r="BK189" i="14"/>
  <c r="BJ189" i="14"/>
  <c r="BI189" i="14"/>
  <c r="BF189" i="14"/>
  <c r="BE189" i="14"/>
  <c r="AU189" i="14"/>
  <c r="AN189" i="14"/>
  <c r="BG189" i="14" s="1"/>
  <c r="CP188" i="14"/>
  <c r="CL188" i="14"/>
  <c r="CD188" i="14"/>
  <c r="CC188" i="14"/>
  <c r="CA188" i="14"/>
  <c r="BZ188" i="14"/>
  <c r="BY188" i="14"/>
  <c r="BX188" i="14"/>
  <c r="BW188" i="14"/>
  <c r="BV188" i="14"/>
  <c r="BT188" i="14"/>
  <c r="BS188" i="14"/>
  <c r="BR188" i="14"/>
  <c r="BQ188" i="14"/>
  <c r="BP188" i="14"/>
  <c r="BO188" i="14"/>
  <c r="BN188" i="14"/>
  <c r="BM188" i="14"/>
  <c r="BL188" i="14"/>
  <c r="BK188" i="14"/>
  <c r="BJ188" i="14"/>
  <c r="BI188" i="14"/>
  <c r="BH188" i="14"/>
  <c r="BG188" i="14"/>
  <c r="BF188" i="14"/>
  <c r="BE188" i="14"/>
  <c r="AU188" i="14"/>
  <c r="AN188" i="14"/>
  <c r="CD187" i="14"/>
  <c r="CC187" i="14"/>
  <c r="CA187" i="14"/>
  <c r="BZ187" i="14"/>
  <c r="BY187" i="14"/>
  <c r="BX187" i="14"/>
  <c r="BW187" i="14"/>
  <c r="BU187" i="14" s="1"/>
  <c r="CB187" i="14" s="1"/>
  <c r="BV187" i="14"/>
  <c r="BT187" i="14"/>
  <c r="BS187" i="14"/>
  <c r="CH187" i="14" s="1"/>
  <c r="BR187" i="14"/>
  <c r="BQ187" i="14"/>
  <c r="BP187" i="14"/>
  <c r="BO187" i="14"/>
  <c r="BN187" i="14"/>
  <c r="BM187" i="14"/>
  <c r="BL187" i="14"/>
  <c r="BK187" i="14"/>
  <c r="BJ187" i="14"/>
  <c r="BI187" i="14"/>
  <c r="BH187" i="14"/>
  <c r="BG187" i="14"/>
  <c r="BF187" i="14"/>
  <c r="BE187" i="14"/>
  <c r="AN187" i="14"/>
  <c r="AU187" i="14" s="1"/>
  <c r="CO186" i="14"/>
  <c r="CK186" i="14"/>
  <c r="CG186" i="14"/>
  <c r="CD186" i="14"/>
  <c r="CC186" i="14"/>
  <c r="CA186" i="14"/>
  <c r="BZ186" i="14"/>
  <c r="BY186" i="14"/>
  <c r="BX186" i="14"/>
  <c r="BW186" i="14"/>
  <c r="BV186" i="14"/>
  <c r="BT186" i="14"/>
  <c r="BS186" i="14"/>
  <c r="BR186" i="14"/>
  <c r="BQ186" i="14"/>
  <c r="BP186" i="14"/>
  <c r="BO186" i="14"/>
  <c r="BN186" i="14"/>
  <c r="BM186" i="14"/>
  <c r="BL186" i="14"/>
  <c r="BK186" i="14"/>
  <c r="BJ186" i="14"/>
  <c r="BI186" i="14"/>
  <c r="BH186" i="14"/>
  <c r="BG186" i="14"/>
  <c r="BF186" i="14"/>
  <c r="BE186" i="14"/>
  <c r="AN186" i="14"/>
  <c r="AU186" i="14" s="1"/>
  <c r="CO185" i="14"/>
  <c r="CL185" i="14"/>
  <c r="CK185" i="14"/>
  <c r="CD185" i="14"/>
  <c r="CG185" i="14" s="1"/>
  <c r="CC185" i="14"/>
  <c r="CA185" i="14"/>
  <c r="BZ185" i="14"/>
  <c r="BY185" i="14"/>
  <c r="BX185" i="14"/>
  <c r="BW185" i="14"/>
  <c r="BU185" i="14" s="1"/>
  <c r="CB185" i="14" s="1"/>
  <c r="BV185" i="14"/>
  <c r="BT185" i="14"/>
  <c r="BS185" i="14"/>
  <c r="CN185" i="14" s="1"/>
  <c r="BR185" i="14"/>
  <c r="BQ185" i="14"/>
  <c r="BP185" i="14"/>
  <c r="BO185" i="14"/>
  <c r="BN185" i="14"/>
  <c r="BM185" i="14"/>
  <c r="BL185" i="14"/>
  <c r="BK185" i="14"/>
  <c r="BJ185" i="14"/>
  <c r="BI185" i="14"/>
  <c r="BH185" i="14"/>
  <c r="BG185" i="14"/>
  <c r="BF185" i="14"/>
  <c r="BE185" i="14"/>
  <c r="AU185" i="14"/>
  <c r="AN185" i="14"/>
  <c r="CP184" i="14"/>
  <c r="CO184" i="14"/>
  <c r="CL184" i="14"/>
  <c r="CH184" i="14"/>
  <c r="CG184" i="14"/>
  <c r="CD184" i="14"/>
  <c r="CC184" i="14"/>
  <c r="CA184" i="14"/>
  <c r="BZ184" i="14"/>
  <c r="BY184" i="14"/>
  <c r="BX184" i="14"/>
  <c r="BW184" i="14"/>
  <c r="BV184" i="14"/>
  <c r="BT184" i="14"/>
  <c r="BS184" i="14"/>
  <c r="CN184" i="14" s="1"/>
  <c r="BR184" i="14"/>
  <c r="BQ184" i="14"/>
  <c r="BP184" i="14"/>
  <c r="BO184" i="14"/>
  <c r="BN184" i="14"/>
  <c r="BM184" i="14"/>
  <c r="BL184" i="14"/>
  <c r="BK184" i="14"/>
  <c r="BJ184" i="14"/>
  <c r="BI184" i="14"/>
  <c r="BH184" i="14"/>
  <c r="BG184" i="14"/>
  <c r="BF184" i="14"/>
  <c r="BE184" i="14"/>
  <c r="AN184" i="14"/>
  <c r="AU184" i="14" s="1"/>
  <c r="CD183" i="14"/>
  <c r="CC183" i="14"/>
  <c r="CA183" i="14"/>
  <c r="BZ183" i="14"/>
  <c r="BY183" i="14"/>
  <c r="BX183" i="14"/>
  <c r="BW183" i="14"/>
  <c r="BV183" i="14"/>
  <c r="BT183" i="14"/>
  <c r="BS183" i="14"/>
  <c r="BR183" i="14"/>
  <c r="BQ183" i="14"/>
  <c r="BN183" i="14"/>
  <c r="BM183" i="14"/>
  <c r="BL183" i="14"/>
  <c r="BK183" i="14"/>
  <c r="BJ183" i="14"/>
  <c r="BI183" i="14"/>
  <c r="BF183" i="14"/>
  <c r="BE183" i="14"/>
  <c r="AN183" i="14"/>
  <c r="CD182" i="14"/>
  <c r="CG182" i="14" s="1"/>
  <c r="CC182" i="14"/>
  <c r="CA182" i="14"/>
  <c r="BZ182" i="14"/>
  <c r="BY182" i="14"/>
  <c r="BX182" i="14"/>
  <c r="BW182" i="14"/>
  <c r="BV182" i="14"/>
  <c r="BT182" i="14"/>
  <c r="BS182" i="14"/>
  <c r="BR182" i="14"/>
  <c r="BQ182" i="14"/>
  <c r="BN182" i="14"/>
  <c r="BM182" i="14"/>
  <c r="BL182" i="14"/>
  <c r="BK182" i="14"/>
  <c r="BJ182" i="14"/>
  <c r="BI182" i="14"/>
  <c r="BH182" i="14"/>
  <c r="BF182" i="14"/>
  <c r="BE182" i="14"/>
  <c r="AN182" i="14"/>
  <c r="BG182" i="14" s="1"/>
  <c r="CD181" i="14"/>
  <c r="CC181" i="14"/>
  <c r="CA181" i="14"/>
  <c r="BZ181" i="14"/>
  <c r="BY181" i="14"/>
  <c r="BX181" i="14"/>
  <c r="BW181" i="14"/>
  <c r="BV181" i="14"/>
  <c r="BT181" i="14"/>
  <c r="BS181" i="14"/>
  <c r="BR181" i="14"/>
  <c r="BQ181" i="14"/>
  <c r="BN181" i="14"/>
  <c r="BM181" i="14"/>
  <c r="BL181" i="14"/>
  <c r="BK181" i="14"/>
  <c r="BJ181" i="14"/>
  <c r="BI181" i="14"/>
  <c r="BF181" i="14"/>
  <c r="BE181" i="14"/>
  <c r="AN181" i="14"/>
  <c r="BH181" i="14" s="1"/>
  <c r="CD180" i="14"/>
  <c r="CC180" i="14"/>
  <c r="CA180" i="14"/>
  <c r="BZ180" i="14"/>
  <c r="BY180" i="14"/>
  <c r="BX180" i="14"/>
  <c r="BW180" i="14"/>
  <c r="BV180" i="14"/>
  <c r="BT180" i="14"/>
  <c r="BS180" i="14"/>
  <c r="BR180" i="14"/>
  <c r="BQ180" i="14"/>
  <c r="BP180" i="14"/>
  <c r="BO180" i="14"/>
  <c r="BN180" i="14"/>
  <c r="BM180" i="14"/>
  <c r="BL180" i="14"/>
  <c r="BK180" i="14"/>
  <c r="BJ180" i="14"/>
  <c r="BI180" i="14"/>
  <c r="BH180" i="14"/>
  <c r="BG180" i="14"/>
  <c r="BF180" i="14"/>
  <c r="BE180" i="14"/>
  <c r="AN180" i="14"/>
  <c r="AU180" i="14" s="1"/>
  <c r="CD179" i="14"/>
  <c r="CC179" i="14"/>
  <c r="CA179" i="14"/>
  <c r="BZ179" i="14"/>
  <c r="CL179" i="14" s="1"/>
  <c r="BY179" i="14"/>
  <c r="BX179" i="14"/>
  <c r="BW179" i="14"/>
  <c r="BV179" i="14"/>
  <c r="BT179" i="14"/>
  <c r="BS179" i="14"/>
  <c r="BR179" i="14"/>
  <c r="BQ179" i="14"/>
  <c r="BN179" i="14"/>
  <c r="BM179" i="14"/>
  <c r="BL179" i="14"/>
  <c r="BK179" i="14"/>
  <c r="BJ179" i="14"/>
  <c r="BI179" i="14"/>
  <c r="BF179" i="14"/>
  <c r="BE179" i="14"/>
  <c r="AN179" i="14"/>
  <c r="BH179" i="14" s="1"/>
  <c r="CD178" i="14"/>
  <c r="CC178" i="14"/>
  <c r="CA178" i="14"/>
  <c r="BZ178" i="14"/>
  <c r="CL178" i="14" s="1"/>
  <c r="BY178" i="14"/>
  <c r="BX178" i="14"/>
  <c r="BW178" i="14"/>
  <c r="BV178" i="14"/>
  <c r="BT178" i="14"/>
  <c r="BS178" i="14"/>
  <c r="BR178" i="14"/>
  <c r="BQ178" i="14"/>
  <c r="BN178" i="14"/>
  <c r="BM178" i="14"/>
  <c r="BL178" i="14"/>
  <c r="BK178" i="14"/>
  <c r="BJ178" i="14"/>
  <c r="BI178" i="14"/>
  <c r="BH178" i="14"/>
  <c r="BF178" i="14"/>
  <c r="BE178" i="14"/>
  <c r="AN178" i="14"/>
  <c r="CD177" i="14"/>
  <c r="CC177" i="14"/>
  <c r="CA177" i="14"/>
  <c r="BZ177" i="14"/>
  <c r="BY177" i="14"/>
  <c r="BX177" i="14"/>
  <c r="BW177" i="14"/>
  <c r="BV177" i="14"/>
  <c r="BT177" i="14"/>
  <c r="BS177" i="14"/>
  <c r="BR177" i="14"/>
  <c r="BQ177" i="14"/>
  <c r="BP177" i="14"/>
  <c r="BO177" i="14"/>
  <c r="BN177" i="14"/>
  <c r="BM177" i="14"/>
  <c r="BL177" i="14"/>
  <c r="BK177" i="14"/>
  <c r="BJ177" i="14"/>
  <c r="BI177" i="14"/>
  <c r="BH177" i="14"/>
  <c r="BG177" i="14"/>
  <c r="BF177" i="14"/>
  <c r="BE177" i="14"/>
  <c r="AN177" i="14"/>
  <c r="AU177" i="14" s="1"/>
  <c r="CD176" i="14"/>
  <c r="CC176" i="14"/>
  <c r="CA176" i="14"/>
  <c r="BZ176" i="14"/>
  <c r="BY176" i="14"/>
  <c r="BX176" i="14"/>
  <c r="BW176" i="14"/>
  <c r="BU176" i="14" s="1"/>
  <c r="CB176" i="14" s="1"/>
  <c r="BV176" i="14"/>
  <c r="BT176" i="14"/>
  <c r="BS176" i="14"/>
  <c r="BR176" i="14"/>
  <c r="BQ176" i="14"/>
  <c r="BP176" i="14"/>
  <c r="BO176" i="14"/>
  <c r="BN176" i="14"/>
  <c r="BM176" i="14"/>
  <c r="BL176" i="14"/>
  <c r="BK176" i="14"/>
  <c r="BJ176" i="14"/>
  <c r="BI176" i="14"/>
  <c r="BH176" i="14"/>
  <c r="BG176" i="14"/>
  <c r="BF176" i="14"/>
  <c r="BE176" i="14"/>
  <c r="AN176" i="14"/>
  <c r="AU176" i="14" s="1"/>
  <c r="CP175" i="14"/>
  <c r="CH175" i="14"/>
  <c r="CD175" i="14"/>
  <c r="CC175" i="14"/>
  <c r="CA175" i="14"/>
  <c r="BZ175" i="14"/>
  <c r="BY175" i="14"/>
  <c r="BX175" i="14"/>
  <c r="BW175" i="14"/>
  <c r="BV175" i="14"/>
  <c r="BT175" i="14"/>
  <c r="BS175" i="14"/>
  <c r="BR175" i="14"/>
  <c r="BQ175" i="14"/>
  <c r="BP175" i="14"/>
  <c r="BO175" i="14"/>
  <c r="BN175" i="14"/>
  <c r="BM175" i="14"/>
  <c r="BL175" i="14"/>
  <c r="BK175" i="14"/>
  <c r="BJ175" i="14"/>
  <c r="BI175" i="14"/>
  <c r="BH175" i="14"/>
  <c r="BG175" i="14"/>
  <c r="BF175" i="14"/>
  <c r="BE175" i="14"/>
  <c r="AN175" i="14"/>
  <c r="AU175" i="14" s="1"/>
  <c r="CD174" i="14"/>
  <c r="CC174" i="14"/>
  <c r="CA174" i="14"/>
  <c r="BZ174" i="14"/>
  <c r="BY174" i="14"/>
  <c r="BX174" i="14"/>
  <c r="BW174" i="14"/>
  <c r="BV174" i="14"/>
  <c r="BT174" i="14"/>
  <c r="BS174" i="14"/>
  <c r="BR174" i="14"/>
  <c r="BQ174" i="14"/>
  <c r="BO174" i="14"/>
  <c r="BN174" i="14"/>
  <c r="BM174" i="14"/>
  <c r="BL174" i="14"/>
  <c r="BK174" i="14"/>
  <c r="BJ174" i="14"/>
  <c r="BI174" i="14"/>
  <c r="BG174" i="14"/>
  <c r="BF174" i="14"/>
  <c r="BE174" i="14"/>
  <c r="AN174" i="14"/>
  <c r="AU174" i="14" s="1"/>
  <c r="BP174" i="14" s="1"/>
  <c r="CD173" i="14"/>
  <c r="CC173" i="14"/>
  <c r="CA173" i="14"/>
  <c r="BZ173" i="14"/>
  <c r="BY173" i="14"/>
  <c r="BX173" i="14"/>
  <c r="BW173" i="14"/>
  <c r="BV173" i="14"/>
  <c r="BT173" i="14"/>
  <c r="BS173" i="14"/>
  <c r="BR173" i="14"/>
  <c r="BQ173" i="14"/>
  <c r="BO173" i="14"/>
  <c r="BN173" i="14"/>
  <c r="BM173" i="14"/>
  <c r="BL173" i="14"/>
  <c r="BK173" i="14"/>
  <c r="BJ173" i="14"/>
  <c r="BI173" i="14"/>
  <c r="BG173" i="14"/>
  <c r="BF173" i="14"/>
  <c r="BE173" i="14"/>
  <c r="AN173" i="14"/>
  <c r="AU173" i="14" s="1"/>
  <c r="BP173" i="14" s="1"/>
  <c r="CP172" i="14"/>
  <c r="CH172" i="14"/>
  <c r="CD172" i="14"/>
  <c r="CC172" i="14"/>
  <c r="CA172" i="14"/>
  <c r="BZ172" i="14"/>
  <c r="BY172" i="14"/>
  <c r="BX172" i="14"/>
  <c r="BW172" i="14"/>
  <c r="BV172" i="14"/>
  <c r="BU172" i="14" s="1"/>
  <c r="CB172" i="14" s="1"/>
  <c r="BT172" i="14"/>
  <c r="BS172" i="14"/>
  <c r="CO172" i="14" s="1"/>
  <c r="BR172" i="14"/>
  <c r="BQ172" i="14"/>
  <c r="BP172" i="14"/>
  <c r="BO172" i="14"/>
  <c r="BN172" i="14"/>
  <c r="BM172" i="14"/>
  <c r="BL172" i="14"/>
  <c r="BK172" i="14"/>
  <c r="BJ172" i="14"/>
  <c r="BI172" i="14"/>
  <c r="BH172" i="14"/>
  <c r="BG172" i="14"/>
  <c r="BF172" i="14"/>
  <c r="BE172" i="14"/>
  <c r="AN172" i="14"/>
  <c r="AU172" i="14" s="1"/>
  <c r="CL171" i="14"/>
  <c r="CH171" i="14"/>
  <c r="CD171" i="14"/>
  <c r="CC171" i="14"/>
  <c r="CA171" i="14"/>
  <c r="BZ171" i="14"/>
  <c r="BY171" i="14"/>
  <c r="BX171" i="14"/>
  <c r="BW171" i="14"/>
  <c r="BV171" i="14"/>
  <c r="BT171" i="14"/>
  <c r="BS171" i="14"/>
  <c r="CO171" i="14" s="1"/>
  <c r="BR171" i="14"/>
  <c r="BQ171" i="14"/>
  <c r="BP171" i="14"/>
  <c r="BO171" i="14"/>
  <c r="BN171" i="14"/>
  <c r="BM171" i="14"/>
  <c r="BL171" i="14"/>
  <c r="BK171" i="14"/>
  <c r="BJ171" i="14"/>
  <c r="BI171" i="14"/>
  <c r="BH171" i="14"/>
  <c r="BG171" i="14"/>
  <c r="BF171" i="14"/>
  <c r="BE171" i="14"/>
  <c r="AN171" i="14"/>
  <c r="AU171" i="14" s="1"/>
  <c r="CD170" i="14"/>
  <c r="CC170" i="14"/>
  <c r="CA170" i="14"/>
  <c r="BZ170" i="14"/>
  <c r="CL170" i="14" s="1"/>
  <c r="BY170" i="14"/>
  <c r="BX170" i="14"/>
  <c r="BW170" i="14"/>
  <c r="BV170" i="14"/>
  <c r="BT170" i="14"/>
  <c r="BS170" i="14"/>
  <c r="BR170" i="14"/>
  <c r="BQ170" i="14"/>
  <c r="BN170" i="14"/>
  <c r="BM170" i="14"/>
  <c r="BL170" i="14"/>
  <c r="BK170" i="14"/>
  <c r="BJ170" i="14"/>
  <c r="BI170" i="14"/>
  <c r="BH170" i="14"/>
  <c r="BF170" i="14"/>
  <c r="BE170" i="14"/>
  <c r="AN170" i="14"/>
  <c r="CD169" i="14"/>
  <c r="CC169" i="14"/>
  <c r="CA169" i="14"/>
  <c r="BZ169" i="14"/>
  <c r="BY169" i="14"/>
  <c r="BX169" i="14"/>
  <c r="BW169" i="14"/>
  <c r="BV169" i="14"/>
  <c r="BT169" i="14"/>
  <c r="BS169" i="14"/>
  <c r="CO169" i="14" s="1"/>
  <c r="BR169" i="14"/>
  <c r="BQ169" i="14"/>
  <c r="BN169" i="14"/>
  <c r="BM169" i="14"/>
  <c r="BL169" i="14"/>
  <c r="BK169" i="14"/>
  <c r="BJ169" i="14"/>
  <c r="BI169" i="14"/>
  <c r="BF169" i="14"/>
  <c r="BE169" i="14"/>
  <c r="AN169" i="14"/>
  <c r="AU169" i="14" s="1"/>
  <c r="BP169" i="14" s="1"/>
  <c r="CD168" i="14"/>
  <c r="CC168" i="14"/>
  <c r="CA168" i="14"/>
  <c r="BZ168" i="14"/>
  <c r="BY168" i="14"/>
  <c r="BX168" i="14"/>
  <c r="BU168" i="14" s="1"/>
  <c r="BW168" i="14"/>
  <c r="BV168" i="14"/>
  <c r="BT168" i="14"/>
  <c r="BS168" i="14"/>
  <c r="BR168" i="14"/>
  <c r="BQ168" i="14"/>
  <c r="BN168" i="14"/>
  <c r="BM168" i="14"/>
  <c r="BL168" i="14"/>
  <c r="BK168" i="14"/>
  <c r="BJ168" i="14"/>
  <c r="BI168" i="14"/>
  <c r="BH168" i="14"/>
  <c r="BF168" i="14"/>
  <c r="BE168" i="14"/>
  <c r="AN168" i="14"/>
  <c r="CD167" i="14"/>
  <c r="CC167" i="14"/>
  <c r="CA167" i="14"/>
  <c r="BZ167" i="14"/>
  <c r="CL167" i="14" s="1"/>
  <c r="BY167" i="14"/>
  <c r="BX167" i="14"/>
  <c r="BW167" i="14"/>
  <c r="BV167" i="14"/>
  <c r="BT167" i="14"/>
  <c r="BS167" i="14"/>
  <c r="CO167" i="14" s="1"/>
  <c r="BR167" i="14"/>
  <c r="BQ167" i="14"/>
  <c r="BN167" i="14"/>
  <c r="BM167" i="14"/>
  <c r="BL167" i="14"/>
  <c r="BK167" i="14"/>
  <c r="BJ167" i="14"/>
  <c r="BI167" i="14"/>
  <c r="BF167" i="14"/>
  <c r="BE167" i="14"/>
  <c r="AN167" i="14"/>
  <c r="AU167" i="14" s="1"/>
  <c r="BP167" i="14" s="1"/>
  <c r="CL166" i="14"/>
  <c r="CH166" i="14"/>
  <c r="CD166" i="14"/>
  <c r="CC166" i="14"/>
  <c r="CA166" i="14"/>
  <c r="BZ166" i="14"/>
  <c r="BY166" i="14"/>
  <c r="BX166" i="14"/>
  <c r="BW166" i="14"/>
  <c r="BV166" i="14"/>
  <c r="BT166" i="14"/>
  <c r="BS166" i="14"/>
  <c r="CO166" i="14" s="1"/>
  <c r="BR166" i="14"/>
  <c r="BQ166" i="14"/>
  <c r="BP166" i="14"/>
  <c r="BO166" i="14"/>
  <c r="BN166" i="14"/>
  <c r="BM166" i="14"/>
  <c r="BL166" i="14"/>
  <c r="BK166" i="14"/>
  <c r="BJ166" i="14"/>
  <c r="BI166" i="14"/>
  <c r="BH166" i="14"/>
  <c r="BG166" i="14"/>
  <c r="BF166" i="14"/>
  <c r="BE166" i="14"/>
  <c r="AN166" i="14"/>
  <c r="AU166" i="14" s="1"/>
  <c r="CL165" i="14"/>
  <c r="CH165" i="14"/>
  <c r="CD165" i="14"/>
  <c r="CC165" i="14"/>
  <c r="CA165" i="14"/>
  <c r="BZ165" i="14"/>
  <c r="BY165" i="14"/>
  <c r="BX165" i="14"/>
  <c r="BW165" i="14"/>
  <c r="BV165" i="14"/>
  <c r="BT165" i="14"/>
  <c r="BS165" i="14"/>
  <c r="CO165" i="14" s="1"/>
  <c r="BR165" i="14"/>
  <c r="BQ165" i="14"/>
  <c r="BP165" i="14"/>
  <c r="BO165" i="14"/>
  <c r="BN165" i="14"/>
  <c r="BM165" i="14"/>
  <c r="BL165" i="14"/>
  <c r="BK165" i="14"/>
  <c r="BJ165" i="14"/>
  <c r="BI165" i="14"/>
  <c r="BH165" i="14"/>
  <c r="BG165" i="14"/>
  <c r="BF165" i="14"/>
  <c r="BE165" i="14"/>
  <c r="AN165" i="14"/>
  <c r="AU165" i="14" s="1"/>
  <c r="CD164" i="14"/>
  <c r="CC164" i="14"/>
  <c r="CA164" i="14"/>
  <c r="BZ164" i="14"/>
  <c r="BY164" i="14"/>
  <c r="BX164" i="14"/>
  <c r="BW164" i="14"/>
  <c r="BV164" i="14"/>
  <c r="BT164" i="14"/>
  <c r="BS164" i="14"/>
  <c r="BR164" i="14"/>
  <c r="BQ164" i="14"/>
  <c r="BN164" i="14"/>
  <c r="BM164" i="14"/>
  <c r="BL164" i="14"/>
  <c r="BK164" i="14"/>
  <c r="BJ164" i="14"/>
  <c r="BI164" i="14"/>
  <c r="BF164" i="14"/>
  <c r="BE164" i="14"/>
  <c r="AN164" i="14"/>
  <c r="AU164" i="14" s="1"/>
  <c r="BO164" i="14" s="1"/>
  <c r="CP163" i="14"/>
  <c r="CL163" i="14"/>
  <c r="CD163" i="14"/>
  <c r="CC163" i="14"/>
  <c r="CA163" i="14"/>
  <c r="BZ163" i="14"/>
  <c r="BY163" i="14"/>
  <c r="BX163" i="14"/>
  <c r="BW163" i="14"/>
  <c r="BV163" i="14"/>
  <c r="BT163" i="14"/>
  <c r="BS163" i="14"/>
  <c r="BR163" i="14"/>
  <c r="BQ163" i="14"/>
  <c r="BP163" i="14"/>
  <c r="BO163" i="14"/>
  <c r="BN163" i="14"/>
  <c r="BM163" i="14"/>
  <c r="BL163" i="14"/>
  <c r="BK163" i="14"/>
  <c r="BJ163" i="14"/>
  <c r="BI163" i="14"/>
  <c r="BH163" i="14"/>
  <c r="BG163" i="14"/>
  <c r="BF163" i="14"/>
  <c r="BE163" i="14"/>
  <c r="AN163" i="14"/>
  <c r="AU163" i="14" s="1"/>
  <c r="CF162" i="14"/>
  <c r="CD162" i="14"/>
  <c r="CC162" i="14"/>
  <c r="CA162" i="14"/>
  <c r="BZ162" i="14"/>
  <c r="BY162" i="14"/>
  <c r="BX162" i="14"/>
  <c r="BW162" i="14"/>
  <c r="BV162" i="14"/>
  <c r="BT162" i="14"/>
  <c r="BS162" i="14"/>
  <c r="CN162" i="14" s="1"/>
  <c r="BR162" i="14"/>
  <c r="BQ162" i="14"/>
  <c r="BP162" i="14"/>
  <c r="BO162" i="14"/>
  <c r="BN162" i="14"/>
  <c r="BM162" i="14"/>
  <c r="BL162" i="14"/>
  <c r="BK162" i="14"/>
  <c r="BJ162" i="14"/>
  <c r="BI162" i="14"/>
  <c r="BH162" i="14"/>
  <c r="BG162" i="14"/>
  <c r="BF162" i="14"/>
  <c r="BE162" i="14"/>
  <c r="AN162" i="14"/>
  <c r="AU162" i="14" s="1"/>
  <c r="CP161" i="14"/>
  <c r="CL161" i="14"/>
  <c r="CI161" i="14"/>
  <c r="CD161" i="14"/>
  <c r="CF161" i="14" s="1"/>
  <c r="CC161" i="14"/>
  <c r="CA161" i="14"/>
  <c r="BZ161" i="14"/>
  <c r="BY161" i="14"/>
  <c r="BX161" i="14"/>
  <c r="BW161" i="14"/>
  <c r="BV161" i="14"/>
  <c r="BT161" i="14"/>
  <c r="BS161" i="14"/>
  <c r="CJ161" i="14" s="1"/>
  <c r="BR161" i="14"/>
  <c r="BQ161" i="14"/>
  <c r="BP161" i="14"/>
  <c r="BO161" i="14"/>
  <c r="BN161" i="14"/>
  <c r="BM161" i="14"/>
  <c r="BL161" i="14"/>
  <c r="BK161" i="14"/>
  <c r="BJ161" i="14"/>
  <c r="BI161" i="14"/>
  <c r="BH161" i="14"/>
  <c r="BG161" i="14"/>
  <c r="BF161" i="14"/>
  <c r="BE161" i="14"/>
  <c r="AN161" i="14"/>
  <c r="AU161" i="14" s="1"/>
  <c r="CD160" i="14"/>
  <c r="CC160" i="14"/>
  <c r="CA160" i="14"/>
  <c r="BZ160" i="14"/>
  <c r="BY160" i="14"/>
  <c r="BX160" i="14"/>
  <c r="BW160" i="14"/>
  <c r="BU160" i="14" s="1"/>
  <c r="CB160" i="14" s="1"/>
  <c r="BV160" i="14"/>
  <c r="BT160" i="14"/>
  <c r="BS160" i="14"/>
  <c r="BR160" i="14"/>
  <c r="BQ160" i="14"/>
  <c r="BO160" i="14"/>
  <c r="BN160" i="14"/>
  <c r="BM160" i="14"/>
  <c r="BL160" i="14"/>
  <c r="BK160" i="14"/>
  <c r="BJ160" i="14"/>
  <c r="BI160" i="14"/>
  <c r="BG160" i="14"/>
  <c r="BF160" i="14"/>
  <c r="BE160" i="14"/>
  <c r="AN160" i="14"/>
  <c r="AU160" i="14" s="1"/>
  <c r="BP160" i="14" s="1"/>
  <c r="CL159" i="14"/>
  <c r="CD159" i="14"/>
  <c r="CC159" i="14"/>
  <c r="CA159" i="14"/>
  <c r="BZ159" i="14"/>
  <c r="BY159" i="14"/>
  <c r="BX159" i="14"/>
  <c r="BW159" i="14"/>
  <c r="BV159" i="14"/>
  <c r="BU159" i="14" s="1"/>
  <c r="CB159" i="14" s="1"/>
  <c r="BT159" i="14"/>
  <c r="BS159" i="14"/>
  <c r="CF159" i="14" s="1"/>
  <c r="BR159" i="14"/>
  <c r="BQ159" i="14"/>
  <c r="BP159" i="14"/>
  <c r="BO159" i="14"/>
  <c r="BN159" i="14"/>
  <c r="BM159" i="14"/>
  <c r="BL159" i="14"/>
  <c r="BK159" i="14"/>
  <c r="BJ159" i="14"/>
  <c r="BI159" i="14"/>
  <c r="BH159" i="14"/>
  <c r="BG159" i="14"/>
  <c r="BF159" i="14"/>
  <c r="BE159" i="14"/>
  <c r="AN159" i="14"/>
  <c r="AU159" i="14" s="1"/>
  <c r="CQ158" i="14"/>
  <c r="CJ158" i="14"/>
  <c r="CD158" i="14"/>
  <c r="CC158" i="14"/>
  <c r="BU158" i="14" s="1"/>
  <c r="CB158" i="14" s="1"/>
  <c r="CA158" i="14"/>
  <c r="BZ158" i="14"/>
  <c r="BY158" i="14"/>
  <c r="BX158" i="14"/>
  <c r="BW158" i="14"/>
  <c r="BV158" i="14"/>
  <c r="BT158" i="14"/>
  <c r="BS158" i="14"/>
  <c r="CL158" i="14" s="1"/>
  <c r="BR158" i="14"/>
  <c r="BQ158" i="14"/>
  <c r="BP158" i="14"/>
  <c r="BO158" i="14"/>
  <c r="BN158" i="14"/>
  <c r="BM158" i="14"/>
  <c r="BL158" i="14"/>
  <c r="BK158" i="14"/>
  <c r="BJ158" i="14"/>
  <c r="BI158" i="14"/>
  <c r="BH158" i="14"/>
  <c r="BG158" i="14"/>
  <c r="BF158" i="14"/>
  <c r="BE158" i="14"/>
  <c r="AN158" i="14"/>
  <c r="AU158" i="14" s="1"/>
  <c r="CD157" i="14"/>
  <c r="CC157" i="14"/>
  <c r="CA157" i="14"/>
  <c r="BZ157" i="14"/>
  <c r="BY157" i="14"/>
  <c r="BX157" i="14"/>
  <c r="BW157" i="14"/>
  <c r="BV157" i="14"/>
  <c r="BT157" i="14"/>
  <c r="BS157" i="14"/>
  <c r="BR157" i="14"/>
  <c r="BQ157" i="14"/>
  <c r="BN157" i="14"/>
  <c r="BM157" i="14"/>
  <c r="BL157" i="14"/>
  <c r="BK157" i="14"/>
  <c r="BJ157" i="14"/>
  <c r="BI157" i="14"/>
  <c r="BG157" i="14"/>
  <c r="BF157" i="14"/>
  <c r="BE157" i="14"/>
  <c r="AN157" i="14"/>
  <c r="AU157" i="14" s="1"/>
  <c r="BP157" i="14" s="1"/>
  <c r="CM156" i="14"/>
  <c r="CD156" i="14"/>
  <c r="CC156" i="14"/>
  <c r="CA156" i="14"/>
  <c r="BZ156" i="14"/>
  <c r="BY156" i="14"/>
  <c r="BX156" i="14"/>
  <c r="BW156" i="14"/>
  <c r="BV156" i="14"/>
  <c r="BT156" i="14"/>
  <c r="BS156" i="14"/>
  <c r="BR156" i="14"/>
  <c r="BQ156" i="14"/>
  <c r="BP156" i="14"/>
  <c r="BO156" i="14"/>
  <c r="BN156" i="14"/>
  <c r="BM156" i="14"/>
  <c r="BL156" i="14"/>
  <c r="BK156" i="14"/>
  <c r="BJ156" i="14"/>
  <c r="BI156" i="14"/>
  <c r="BH156" i="14"/>
  <c r="BG156" i="14"/>
  <c r="BF156" i="14"/>
  <c r="BE156" i="14"/>
  <c r="AN156" i="14"/>
  <c r="AU156" i="14" s="1"/>
  <c r="CD155" i="14"/>
  <c r="CF155" i="14" s="1"/>
  <c r="CC155" i="14"/>
  <c r="CA155" i="14"/>
  <c r="BZ155" i="14"/>
  <c r="BY155" i="14"/>
  <c r="BX155" i="14"/>
  <c r="BW155" i="14"/>
  <c r="BV155" i="14"/>
  <c r="BT155" i="14"/>
  <c r="BS155" i="14"/>
  <c r="CL155" i="14" s="1"/>
  <c r="BR155" i="14"/>
  <c r="BQ155" i="14"/>
  <c r="BP155" i="14"/>
  <c r="BO155" i="14"/>
  <c r="BN155" i="14"/>
  <c r="BM155" i="14"/>
  <c r="BL155" i="14"/>
  <c r="BK155" i="14"/>
  <c r="BJ155" i="14"/>
  <c r="BI155" i="14"/>
  <c r="BH155" i="14"/>
  <c r="BG155" i="14"/>
  <c r="BF155" i="14"/>
  <c r="BE155" i="14"/>
  <c r="AN155" i="14"/>
  <c r="AU155" i="14" s="1"/>
  <c r="CD154" i="14"/>
  <c r="CF154" i="14" s="1"/>
  <c r="CC154" i="14"/>
  <c r="CA154" i="14"/>
  <c r="BZ154" i="14"/>
  <c r="BY154" i="14"/>
  <c r="CJ154" i="14" s="1"/>
  <c r="BX154" i="14"/>
  <c r="BW154" i="14"/>
  <c r="BV154" i="14"/>
  <c r="BU154" i="14"/>
  <c r="CB154" i="14" s="1"/>
  <c r="CQ154" i="14" s="1"/>
  <c r="BT154" i="14"/>
  <c r="BS154" i="14"/>
  <c r="BR154" i="14"/>
  <c r="BQ154" i="14"/>
  <c r="BN154" i="14"/>
  <c r="BM154" i="14"/>
  <c r="BL154" i="14"/>
  <c r="BK154" i="14"/>
  <c r="BJ154" i="14"/>
  <c r="BI154" i="14"/>
  <c r="BG154" i="14"/>
  <c r="BF154" i="14"/>
  <c r="BE154" i="14"/>
  <c r="AN154" i="14"/>
  <c r="AU154" i="14" s="1"/>
  <c r="BP154" i="14" s="1"/>
  <c r="CD153" i="14"/>
  <c r="CF153" i="14" s="1"/>
  <c r="CC153" i="14"/>
  <c r="CA153" i="14"/>
  <c r="BZ153" i="14"/>
  <c r="BY153" i="14"/>
  <c r="BX153" i="14"/>
  <c r="BW153" i="14"/>
  <c r="BV153" i="14"/>
  <c r="BT153" i="14"/>
  <c r="CJ153" i="14" s="1"/>
  <c r="BS153" i="14"/>
  <c r="CL153" i="14" s="1"/>
  <c r="BR153" i="14"/>
  <c r="BQ153" i="14"/>
  <c r="BO153" i="14"/>
  <c r="BN153" i="14"/>
  <c r="BM153" i="14"/>
  <c r="BL153" i="14"/>
  <c r="BK153" i="14"/>
  <c r="BJ153" i="14"/>
  <c r="BI153" i="14"/>
  <c r="BG153" i="14"/>
  <c r="BF153" i="14"/>
  <c r="BE153" i="14"/>
  <c r="AN153" i="14"/>
  <c r="AU153" i="14" s="1"/>
  <c r="BP153" i="14" s="1"/>
  <c r="CD152" i="14"/>
  <c r="CC152" i="14"/>
  <c r="CA152" i="14"/>
  <c r="BZ152" i="14"/>
  <c r="BY152" i="14"/>
  <c r="BX152" i="14"/>
  <c r="BW152" i="14"/>
  <c r="BV152" i="14"/>
  <c r="BT152" i="14"/>
  <c r="BS152" i="14"/>
  <c r="CM152" i="14" s="1"/>
  <c r="BR152" i="14"/>
  <c r="BQ152" i="14"/>
  <c r="BP152" i="14"/>
  <c r="BO152" i="14"/>
  <c r="BN152" i="14"/>
  <c r="BM152" i="14"/>
  <c r="BL152" i="14"/>
  <c r="BK152" i="14"/>
  <c r="BJ152" i="14"/>
  <c r="BI152" i="14"/>
  <c r="BH152" i="14"/>
  <c r="BG152" i="14"/>
  <c r="BF152" i="14"/>
  <c r="BE152" i="14"/>
  <c r="AN152" i="14"/>
  <c r="AU152" i="14" s="1"/>
  <c r="CD151" i="14"/>
  <c r="CC151" i="14"/>
  <c r="CA151" i="14"/>
  <c r="BZ151" i="14"/>
  <c r="BY151" i="14"/>
  <c r="BX151" i="14"/>
  <c r="BW151" i="14"/>
  <c r="BV151" i="14"/>
  <c r="BT151" i="14"/>
  <c r="BS151" i="14"/>
  <c r="BR151" i="14"/>
  <c r="BQ151" i="14"/>
  <c r="BN151" i="14"/>
  <c r="BM151" i="14"/>
  <c r="BL151" i="14"/>
  <c r="BK151" i="14"/>
  <c r="BJ151" i="14"/>
  <c r="BI151" i="14"/>
  <c r="BH151" i="14"/>
  <c r="BF151" i="14"/>
  <c r="BE151" i="14"/>
  <c r="AN151" i="14"/>
  <c r="AU151" i="14" s="1"/>
  <c r="BO151" i="14" s="1"/>
  <c r="CD150" i="14"/>
  <c r="CF150" i="14" s="1"/>
  <c r="CC150" i="14"/>
  <c r="CA150" i="14"/>
  <c r="BZ150" i="14"/>
  <c r="BY150" i="14"/>
  <c r="BX150" i="14"/>
  <c r="BW150" i="14"/>
  <c r="BV150" i="14"/>
  <c r="BT150" i="14"/>
  <c r="BS150" i="14"/>
  <c r="BR150" i="14"/>
  <c r="BQ150" i="14"/>
  <c r="BN150" i="14"/>
  <c r="BM150" i="14"/>
  <c r="BL150" i="14"/>
  <c r="BK150" i="14"/>
  <c r="BJ150" i="14"/>
  <c r="BI150" i="14"/>
  <c r="BF150" i="14"/>
  <c r="BE150" i="14"/>
  <c r="AN150" i="14"/>
  <c r="AU150" i="14" s="1"/>
  <c r="BP150" i="14" s="1"/>
  <c r="CD149" i="14"/>
  <c r="CC149" i="14"/>
  <c r="CA149" i="14"/>
  <c r="BZ149" i="14"/>
  <c r="CL149" i="14" s="1"/>
  <c r="BY149" i="14"/>
  <c r="BX149" i="14"/>
  <c r="BW149" i="14"/>
  <c r="BV149" i="14"/>
  <c r="BT149" i="14"/>
  <c r="BS149" i="14"/>
  <c r="BR149" i="14"/>
  <c r="BQ149" i="14"/>
  <c r="BN149" i="14"/>
  <c r="BM149" i="14"/>
  <c r="BL149" i="14"/>
  <c r="BK149" i="14"/>
  <c r="BJ149" i="14"/>
  <c r="BI149" i="14"/>
  <c r="BF149" i="14"/>
  <c r="BE149" i="14"/>
  <c r="AN149" i="14"/>
  <c r="CD148" i="14"/>
  <c r="CC148" i="14"/>
  <c r="CA148" i="14"/>
  <c r="BZ148" i="14"/>
  <c r="CM148" i="14" s="1"/>
  <c r="BY148" i="14"/>
  <c r="BX148" i="14"/>
  <c r="BW148" i="14"/>
  <c r="BV148" i="14"/>
  <c r="BT148" i="14"/>
  <c r="BS148" i="14"/>
  <c r="BR148" i="14"/>
  <c r="BQ148" i="14"/>
  <c r="BN148" i="14"/>
  <c r="BM148" i="14"/>
  <c r="BL148" i="14"/>
  <c r="BK148" i="14"/>
  <c r="BJ148" i="14"/>
  <c r="BI148" i="14"/>
  <c r="BF148" i="14"/>
  <c r="BE148" i="14"/>
  <c r="AN148" i="14"/>
  <c r="AU148" i="14" s="1"/>
  <c r="BP148" i="14" s="1"/>
  <c r="CD147" i="14"/>
  <c r="CC147" i="14"/>
  <c r="CA147" i="14"/>
  <c r="BZ147" i="14"/>
  <c r="BY147" i="14"/>
  <c r="BX147" i="14"/>
  <c r="BW147" i="14"/>
  <c r="BV147" i="14"/>
  <c r="BT147" i="14"/>
  <c r="BS147" i="14"/>
  <c r="BR147" i="14"/>
  <c r="BQ147" i="14"/>
  <c r="BN147" i="14"/>
  <c r="BM147" i="14"/>
  <c r="BL147" i="14"/>
  <c r="BK147" i="14"/>
  <c r="BJ147" i="14"/>
  <c r="BI147" i="14"/>
  <c r="BG147" i="14"/>
  <c r="BF147" i="14"/>
  <c r="BE147" i="14"/>
  <c r="AN147" i="14"/>
  <c r="AU147" i="14" s="1"/>
  <c r="BP147" i="14" s="1"/>
  <c r="CM146" i="14"/>
  <c r="CD146" i="14"/>
  <c r="CC146" i="14"/>
  <c r="CA146" i="14"/>
  <c r="BZ146" i="14"/>
  <c r="BY146" i="14"/>
  <c r="BX146" i="14"/>
  <c r="BW146" i="14"/>
  <c r="BV146" i="14"/>
  <c r="BT146" i="14"/>
  <c r="BS146" i="14"/>
  <c r="CO146" i="14" s="1"/>
  <c r="BR146" i="14"/>
  <c r="BQ146" i="14"/>
  <c r="BN146" i="14"/>
  <c r="BM146" i="14"/>
  <c r="BL146" i="14"/>
  <c r="BK146" i="14"/>
  <c r="BJ146" i="14"/>
  <c r="BI146" i="14"/>
  <c r="BG146" i="14"/>
  <c r="BF146" i="14"/>
  <c r="BE146" i="14"/>
  <c r="AN146" i="14"/>
  <c r="AU146" i="14" s="1"/>
  <c r="BP146" i="14" s="1"/>
  <c r="CD145" i="14"/>
  <c r="CC145" i="14"/>
  <c r="CA145" i="14"/>
  <c r="BZ145" i="14"/>
  <c r="BY145" i="14"/>
  <c r="BX145" i="14"/>
  <c r="BW145" i="14"/>
  <c r="BV145" i="14"/>
  <c r="BT145" i="14"/>
  <c r="BS145" i="14"/>
  <c r="BR145" i="14"/>
  <c r="BQ145" i="14"/>
  <c r="BO145" i="14"/>
  <c r="BN145" i="14"/>
  <c r="BM145" i="14"/>
  <c r="BL145" i="14"/>
  <c r="BK145" i="14"/>
  <c r="BJ145" i="14"/>
  <c r="BI145" i="14"/>
  <c r="BG145" i="14"/>
  <c r="BF145" i="14"/>
  <c r="BE145" i="14"/>
  <c r="AN145" i="14"/>
  <c r="AU145" i="14" s="1"/>
  <c r="BP145" i="14" s="1"/>
  <c r="CD144" i="14"/>
  <c r="CC144" i="14"/>
  <c r="CA144" i="14"/>
  <c r="BZ144" i="14"/>
  <c r="BY144" i="14"/>
  <c r="BX144" i="14"/>
  <c r="BW144" i="14"/>
  <c r="BV144" i="14"/>
  <c r="BT144" i="14"/>
  <c r="BS144" i="14"/>
  <c r="BR144" i="14"/>
  <c r="BQ144" i="14"/>
  <c r="BN144" i="14"/>
  <c r="BM144" i="14"/>
  <c r="BL144" i="14"/>
  <c r="BK144" i="14"/>
  <c r="BJ144" i="14"/>
  <c r="BI144" i="14"/>
  <c r="BF144" i="14"/>
  <c r="BE144" i="14"/>
  <c r="AN144" i="14"/>
  <c r="BH144" i="14" s="1"/>
  <c r="CI143" i="14"/>
  <c r="CD143" i="14"/>
  <c r="CC143" i="14"/>
  <c r="CA143" i="14"/>
  <c r="BZ143" i="14"/>
  <c r="BY143" i="14"/>
  <c r="BX143" i="14"/>
  <c r="BW143" i="14"/>
  <c r="BV143" i="14"/>
  <c r="BT143" i="14"/>
  <c r="BS143" i="14"/>
  <c r="CL143" i="14" s="1"/>
  <c r="BR143" i="14"/>
  <c r="BQ143" i="14"/>
  <c r="BP143" i="14"/>
  <c r="BO143" i="14"/>
  <c r="BN143" i="14"/>
  <c r="BM143" i="14"/>
  <c r="BL143" i="14"/>
  <c r="BK143" i="14"/>
  <c r="BJ143" i="14"/>
  <c r="BI143" i="14"/>
  <c r="BH143" i="14"/>
  <c r="BG143" i="14"/>
  <c r="BF143" i="14"/>
  <c r="BE143" i="14"/>
  <c r="AN143" i="14"/>
  <c r="AU143" i="14" s="1"/>
  <c r="CQ142" i="14"/>
  <c r="CP142" i="14"/>
  <c r="CM142" i="14"/>
  <c r="CI142" i="14"/>
  <c r="CH142" i="14"/>
  <c r="CD142" i="14"/>
  <c r="CC142" i="14"/>
  <c r="CA142" i="14"/>
  <c r="BZ142" i="14"/>
  <c r="BY142" i="14"/>
  <c r="BX142" i="14"/>
  <c r="BW142" i="14"/>
  <c r="BV142" i="14"/>
  <c r="BT142" i="14"/>
  <c r="BS142" i="14"/>
  <c r="CO142" i="14" s="1"/>
  <c r="BR142" i="14"/>
  <c r="BQ142" i="14"/>
  <c r="BP142" i="14"/>
  <c r="BO142" i="14"/>
  <c r="BN142" i="14"/>
  <c r="BM142" i="14"/>
  <c r="BL142" i="14"/>
  <c r="BK142" i="14"/>
  <c r="BJ142" i="14"/>
  <c r="BI142" i="14"/>
  <c r="BH142" i="14"/>
  <c r="BG142" i="14"/>
  <c r="BF142" i="14"/>
  <c r="BE142" i="14"/>
  <c r="AN142" i="14"/>
  <c r="AU142" i="14" s="1"/>
  <c r="CD141" i="14"/>
  <c r="CC141" i="14"/>
  <c r="CA141" i="14"/>
  <c r="BZ141" i="14"/>
  <c r="CL141" i="14" s="1"/>
  <c r="BY141" i="14"/>
  <c r="BX141" i="14"/>
  <c r="BW141" i="14"/>
  <c r="BV141" i="14"/>
  <c r="BT141" i="14"/>
  <c r="BS141" i="14"/>
  <c r="BR141" i="14"/>
  <c r="BQ141" i="14"/>
  <c r="BN141" i="14"/>
  <c r="BM141" i="14"/>
  <c r="BL141" i="14"/>
  <c r="BK141" i="14"/>
  <c r="BJ141" i="14"/>
  <c r="BI141" i="14"/>
  <c r="BH141" i="14"/>
  <c r="BF141" i="14"/>
  <c r="BE141" i="14"/>
  <c r="AN141" i="14"/>
  <c r="AU141" i="14" s="1"/>
  <c r="BO141" i="14" s="1"/>
  <c r="CL140" i="14"/>
  <c r="CD140" i="14"/>
  <c r="CC140" i="14"/>
  <c r="CA140" i="14"/>
  <c r="BZ140" i="14"/>
  <c r="BY140" i="14"/>
  <c r="BX140" i="14"/>
  <c r="BW140" i="14"/>
  <c r="BV140" i="14"/>
  <c r="BT140" i="14"/>
  <c r="BS140" i="14"/>
  <c r="CM140" i="14" s="1"/>
  <c r="BR140" i="14"/>
  <c r="BQ140" i="14"/>
  <c r="BP140" i="14"/>
  <c r="BO140" i="14"/>
  <c r="BN140" i="14"/>
  <c r="BM140" i="14"/>
  <c r="BL140" i="14"/>
  <c r="BK140" i="14"/>
  <c r="BJ140" i="14"/>
  <c r="BI140" i="14"/>
  <c r="BH140" i="14"/>
  <c r="BG140" i="14"/>
  <c r="BF140" i="14"/>
  <c r="BE140" i="14"/>
  <c r="AN140" i="14"/>
  <c r="AU140" i="14" s="1"/>
  <c r="CD139" i="14"/>
  <c r="CC139" i="14"/>
  <c r="CA139" i="14"/>
  <c r="BZ139" i="14"/>
  <c r="BY139" i="14"/>
  <c r="BX139" i="14"/>
  <c r="BW139" i="14"/>
  <c r="BV139" i="14"/>
  <c r="BT139" i="14"/>
  <c r="BS139" i="14"/>
  <c r="BR139" i="14"/>
  <c r="BQ139" i="14"/>
  <c r="BN139" i="14"/>
  <c r="BM139" i="14"/>
  <c r="BL139" i="14"/>
  <c r="BK139" i="14"/>
  <c r="BJ139" i="14"/>
  <c r="BI139" i="14"/>
  <c r="BG139" i="14"/>
  <c r="BF139" i="14"/>
  <c r="BE139" i="14"/>
  <c r="AN139" i="14"/>
  <c r="AU139" i="14" s="1"/>
  <c r="BP139" i="14" s="1"/>
  <c r="CM138" i="14"/>
  <c r="CD138" i="14"/>
  <c r="CC138" i="14"/>
  <c r="CA138" i="14"/>
  <c r="BZ138" i="14"/>
  <c r="BY138" i="14"/>
  <c r="BX138" i="14"/>
  <c r="BW138" i="14"/>
  <c r="BV138" i="14"/>
  <c r="BT138" i="14"/>
  <c r="BS138" i="14"/>
  <c r="BR138" i="14"/>
  <c r="BQ138" i="14"/>
  <c r="BN138" i="14"/>
  <c r="BM138" i="14"/>
  <c r="BL138" i="14"/>
  <c r="BK138" i="14"/>
  <c r="BJ138" i="14"/>
  <c r="BI138" i="14"/>
  <c r="BG138" i="14"/>
  <c r="BF138" i="14"/>
  <c r="BE138" i="14"/>
  <c r="AN138" i="14"/>
  <c r="AU138" i="14" s="1"/>
  <c r="BP138" i="14" s="1"/>
  <c r="CM137" i="14"/>
  <c r="CD137" i="14"/>
  <c r="CC137" i="14"/>
  <c r="CA137" i="14"/>
  <c r="BZ137" i="14"/>
  <c r="BY137" i="14"/>
  <c r="BX137" i="14"/>
  <c r="BW137" i="14"/>
  <c r="BV137" i="14"/>
  <c r="BT137" i="14"/>
  <c r="BS137" i="14"/>
  <c r="CP137" i="14" s="1"/>
  <c r="BR137" i="14"/>
  <c r="BQ137" i="14"/>
  <c r="BP137" i="14"/>
  <c r="BO137" i="14"/>
  <c r="BN137" i="14"/>
  <c r="BM137" i="14"/>
  <c r="BL137" i="14"/>
  <c r="BK137" i="14"/>
  <c r="BJ137" i="14"/>
  <c r="BI137" i="14"/>
  <c r="BH137" i="14"/>
  <c r="BG137" i="14"/>
  <c r="BF137" i="14"/>
  <c r="BE137" i="14"/>
  <c r="AN137" i="14"/>
  <c r="AU137" i="14" s="1"/>
  <c r="CQ136" i="14"/>
  <c r="CI136" i="14"/>
  <c r="CD136" i="14"/>
  <c r="CC136" i="14"/>
  <c r="CA136" i="14"/>
  <c r="BZ136" i="14"/>
  <c r="BY136" i="14"/>
  <c r="BX136" i="14"/>
  <c r="BW136" i="14"/>
  <c r="BV136" i="14"/>
  <c r="BT136" i="14"/>
  <c r="BS136" i="14"/>
  <c r="CL136" i="14" s="1"/>
  <c r="BR136" i="14"/>
  <c r="BQ136" i="14"/>
  <c r="BP136" i="14"/>
  <c r="BO136" i="14"/>
  <c r="BN136" i="14"/>
  <c r="BM136" i="14"/>
  <c r="BL136" i="14"/>
  <c r="BK136" i="14"/>
  <c r="BJ136" i="14"/>
  <c r="BI136" i="14"/>
  <c r="BH136" i="14"/>
  <c r="BG136" i="14"/>
  <c r="BF136" i="14"/>
  <c r="BE136" i="14"/>
  <c r="AN136" i="14"/>
  <c r="AU136" i="14" s="1"/>
  <c r="CD135" i="14"/>
  <c r="CC135" i="14"/>
  <c r="CA135" i="14"/>
  <c r="BZ135" i="14"/>
  <c r="CL135" i="14" s="1"/>
  <c r="BY135" i="14"/>
  <c r="BX135" i="14"/>
  <c r="BW135" i="14"/>
  <c r="BV135" i="14"/>
  <c r="BT135" i="14"/>
  <c r="BS135" i="14"/>
  <c r="BR135" i="14"/>
  <c r="BQ135" i="14"/>
  <c r="BN135" i="14"/>
  <c r="BM135" i="14"/>
  <c r="BL135" i="14"/>
  <c r="BK135" i="14"/>
  <c r="BJ135" i="14"/>
  <c r="BI135" i="14"/>
  <c r="BG135" i="14"/>
  <c r="BF135" i="14"/>
  <c r="BE135" i="14"/>
  <c r="AN135" i="14"/>
  <c r="AU135" i="14" s="1"/>
  <c r="BP135" i="14" s="1"/>
  <c r="CD134" i="14"/>
  <c r="CC134" i="14"/>
  <c r="CA134" i="14"/>
  <c r="BZ134" i="14"/>
  <c r="CM134" i="14" s="1"/>
  <c r="BY134" i="14"/>
  <c r="BX134" i="14"/>
  <c r="BW134" i="14"/>
  <c r="BV134" i="14"/>
  <c r="BT134" i="14"/>
  <c r="BS134" i="14"/>
  <c r="BR134" i="14"/>
  <c r="BQ134" i="14"/>
  <c r="BO134" i="14"/>
  <c r="BN134" i="14"/>
  <c r="BM134" i="14"/>
  <c r="BL134" i="14"/>
  <c r="BK134" i="14"/>
  <c r="BJ134" i="14"/>
  <c r="BI134" i="14"/>
  <c r="BG134" i="14"/>
  <c r="BF134" i="14"/>
  <c r="BE134" i="14"/>
  <c r="AN134" i="14"/>
  <c r="AU134" i="14" s="1"/>
  <c r="BP134" i="14" s="1"/>
  <c r="CP133" i="14"/>
  <c r="CL133" i="14"/>
  <c r="CH133" i="14"/>
  <c r="CD133" i="14"/>
  <c r="CC133" i="14"/>
  <c r="CA133" i="14"/>
  <c r="BZ133" i="14"/>
  <c r="BY133" i="14"/>
  <c r="BX133" i="14"/>
  <c r="BW133" i="14"/>
  <c r="BV133" i="14"/>
  <c r="BT133" i="14"/>
  <c r="BS133" i="14"/>
  <c r="BR133" i="14"/>
  <c r="BQ133" i="14"/>
  <c r="BP133" i="14"/>
  <c r="BO133" i="14"/>
  <c r="BN133" i="14"/>
  <c r="BM133" i="14"/>
  <c r="BL133" i="14"/>
  <c r="BK133" i="14"/>
  <c r="BJ133" i="14"/>
  <c r="BI133" i="14"/>
  <c r="BH133" i="14"/>
  <c r="BG133" i="14"/>
  <c r="BF133" i="14"/>
  <c r="BE133" i="14"/>
  <c r="AN133" i="14"/>
  <c r="AU133" i="14" s="1"/>
  <c r="CD132" i="14"/>
  <c r="CC132" i="14"/>
  <c r="CA132" i="14"/>
  <c r="BZ132" i="14"/>
  <c r="BY132" i="14"/>
  <c r="BX132" i="14"/>
  <c r="BW132" i="14"/>
  <c r="BV132" i="14"/>
  <c r="BT132" i="14"/>
  <c r="BS132" i="14"/>
  <c r="CL132" i="14" s="1"/>
  <c r="BR132" i="14"/>
  <c r="BQ132" i="14"/>
  <c r="BP132" i="14"/>
  <c r="BO132" i="14"/>
  <c r="BN132" i="14"/>
  <c r="BM132" i="14"/>
  <c r="BL132" i="14"/>
  <c r="BK132" i="14"/>
  <c r="BJ132" i="14"/>
  <c r="BI132" i="14"/>
  <c r="BH132" i="14"/>
  <c r="BG132" i="14"/>
  <c r="BF132" i="14"/>
  <c r="BE132" i="14"/>
  <c r="AN132" i="14"/>
  <c r="AU132" i="14" s="1"/>
  <c r="CQ131" i="14"/>
  <c r="CP131" i="14"/>
  <c r="CH131" i="14"/>
  <c r="CD131" i="14"/>
  <c r="CC131" i="14"/>
  <c r="CA131" i="14"/>
  <c r="BZ131" i="14"/>
  <c r="BY131" i="14"/>
  <c r="BX131" i="14"/>
  <c r="BW131" i="14"/>
  <c r="BV131" i="14"/>
  <c r="BT131" i="14"/>
  <c r="BS131" i="14"/>
  <c r="CI131" i="14" s="1"/>
  <c r="BR131" i="14"/>
  <c r="BQ131" i="14"/>
  <c r="BP131" i="14"/>
  <c r="BO131" i="14"/>
  <c r="BN131" i="14"/>
  <c r="BM131" i="14"/>
  <c r="BL131" i="14"/>
  <c r="BK131" i="14"/>
  <c r="BJ131" i="14"/>
  <c r="BI131" i="14"/>
  <c r="BH131" i="14"/>
  <c r="BG131" i="14"/>
  <c r="BF131" i="14"/>
  <c r="BE131" i="14"/>
  <c r="AN131" i="14"/>
  <c r="AU131" i="14" s="1"/>
  <c r="CQ130" i="14"/>
  <c r="CP130" i="14"/>
  <c r="CM130" i="14"/>
  <c r="CI130" i="14"/>
  <c r="CH130" i="14"/>
  <c r="CD130" i="14"/>
  <c r="CC130" i="14"/>
  <c r="CA130" i="14"/>
  <c r="BZ130" i="14"/>
  <c r="BY130" i="14"/>
  <c r="BX130" i="14"/>
  <c r="BW130" i="14"/>
  <c r="BV130" i="14"/>
  <c r="BT130" i="14"/>
  <c r="BS130" i="14"/>
  <c r="CO130" i="14" s="1"/>
  <c r="BR130" i="14"/>
  <c r="BQ130" i="14"/>
  <c r="BP130" i="14"/>
  <c r="BO130" i="14"/>
  <c r="BN130" i="14"/>
  <c r="BM130" i="14"/>
  <c r="BL130" i="14"/>
  <c r="BK130" i="14"/>
  <c r="BJ130" i="14"/>
  <c r="BI130" i="14"/>
  <c r="BH130" i="14"/>
  <c r="BG130" i="14"/>
  <c r="BF130" i="14"/>
  <c r="BE130" i="14"/>
  <c r="AN130" i="14"/>
  <c r="AU130" i="14" s="1"/>
  <c r="CM129" i="14"/>
  <c r="CD129" i="14"/>
  <c r="CC129" i="14"/>
  <c r="CA129" i="14"/>
  <c r="BZ129" i="14"/>
  <c r="BY129" i="14"/>
  <c r="BX129" i="14"/>
  <c r="BW129" i="14"/>
  <c r="BV129" i="14"/>
  <c r="BT129" i="14"/>
  <c r="BS129" i="14"/>
  <c r="CP129" i="14" s="1"/>
  <c r="BR129" i="14"/>
  <c r="BQ129" i="14"/>
  <c r="BP129" i="14"/>
  <c r="BO129" i="14"/>
  <c r="BN129" i="14"/>
  <c r="BM129" i="14"/>
  <c r="BL129" i="14"/>
  <c r="BK129" i="14"/>
  <c r="BJ129" i="14"/>
  <c r="BI129" i="14"/>
  <c r="BH129" i="14"/>
  <c r="BG129" i="14"/>
  <c r="BF129" i="14"/>
  <c r="BE129" i="14"/>
  <c r="AN129" i="14"/>
  <c r="AU129" i="14" s="1"/>
  <c r="CD128" i="14"/>
  <c r="CC128" i="14"/>
  <c r="CA128" i="14"/>
  <c r="BZ128" i="14"/>
  <c r="BY128" i="14"/>
  <c r="BX128" i="14"/>
  <c r="BW128" i="14"/>
  <c r="BV128" i="14"/>
  <c r="BT128" i="14"/>
  <c r="BS128" i="14"/>
  <c r="BR128" i="14"/>
  <c r="BQ128" i="14"/>
  <c r="BO128" i="14"/>
  <c r="BN128" i="14"/>
  <c r="BM128" i="14"/>
  <c r="BL128" i="14"/>
  <c r="BK128" i="14"/>
  <c r="BJ128" i="14"/>
  <c r="BI128" i="14"/>
  <c r="BG128" i="14"/>
  <c r="BF128" i="14"/>
  <c r="BE128" i="14"/>
  <c r="AN128" i="14"/>
  <c r="AU128" i="14" s="1"/>
  <c r="BP128" i="14" s="1"/>
  <c r="CD127" i="14"/>
  <c r="CC127" i="14"/>
  <c r="CA127" i="14"/>
  <c r="BZ127" i="14"/>
  <c r="CL127" i="14" s="1"/>
  <c r="BY127" i="14"/>
  <c r="BX127" i="14"/>
  <c r="BW127" i="14"/>
  <c r="BV127" i="14"/>
  <c r="BT127" i="14"/>
  <c r="BS127" i="14"/>
  <c r="BR127" i="14"/>
  <c r="BQ127" i="14"/>
  <c r="BN127" i="14"/>
  <c r="BM127" i="14"/>
  <c r="BL127" i="14"/>
  <c r="BK127" i="14"/>
  <c r="BJ127" i="14"/>
  <c r="BI127" i="14"/>
  <c r="BF127" i="14"/>
  <c r="BE127" i="14"/>
  <c r="AN127" i="14"/>
  <c r="AU127" i="14" s="1"/>
  <c r="BP127" i="14" s="1"/>
  <c r="CQ126" i="14"/>
  <c r="CP126" i="14"/>
  <c r="CM126" i="14"/>
  <c r="CI126" i="14"/>
  <c r="CH126" i="14"/>
  <c r="CD126" i="14"/>
  <c r="CC126" i="14"/>
  <c r="CA126" i="14"/>
  <c r="BZ126" i="14"/>
  <c r="BY126" i="14"/>
  <c r="BX126" i="14"/>
  <c r="BW126" i="14"/>
  <c r="BV126" i="14"/>
  <c r="BT126" i="14"/>
  <c r="BS126" i="14"/>
  <c r="CO126" i="14" s="1"/>
  <c r="BR126" i="14"/>
  <c r="BQ126" i="14"/>
  <c r="BP126" i="14"/>
  <c r="BO126" i="14"/>
  <c r="BN126" i="14"/>
  <c r="BM126" i="14"/>
  <c r="BL126" i="14"/>
  <c r="BK126" i="14"/>
  <c r="BJ126" i="14"/>
  <c r="BI126" i="14"/>
  <c r="BH126" i="14"/>
  <c r="BG126" i="14"/>
  <c r="BF126" i="14"/>
  <c r="BE126" i="14"/>
  <c r="AN126" i="14"/>
  <c r="AU126" i="14" s="1"/>
  <c r="CP125" i="14"/>
  <c r="CL125" i="14"/>
  <c r="CH125" i="14"/>
  <c r="CD125" i="14"/>
  <c r="CC125" i="14"/>
  <c r="CA125" i="14"/>
  <c r="BZ125" i="14"/>
  <c r="BY125" i="14"/>
  <c r="BX125" i="14"/>
  <c r="BW125" i="14"/>
  <c r="BV125" i="14"/>
  <c r="BT125" i="14"/>
  <c r="BS125" i="14"/>
  <c r="BR125" i="14"/>
  <c r="BQ125" i="14"/>
  <c r="BP125" i="14"/>
  <c r="BO125" i="14"/>
  <c r="BN125" i="14"/>
  <c r="BM125" i="14"/>
  <c r="BL125" i="14"/>
  <c r="BK125" i="14"/>
  <c r="BJ125" i="14"/>
  <c r="BI125" i="14"/>
  <c r="BH125" i="14"/>
  <c r="BG125" i="14"/>
  <c r="BF125" i="14"/>
  <c r="BE125" i="14"/>
  <c r="AN125" i="14"/>
  <c r="AU125" i="14" s="1"/>
  <c r="CD124" i="14"/>
  <c r="CC124" i="14"/>
  <c r="CA124" i="14"/>
  <c r="BZ124" i="14"/>
  <c r="BY124" i="14"/>
  <c r="BX124" i="14"/>
  <c r="BW124" i="14"/>
  <c r="BV124" i="14"/>
  <c r="BT124" i="14"/>
  <c r="BS124" i="14"/>
  <c r="CL124" i="14" s="1"/>
  <c r="BR124" i="14"/>
  <c r="BQ124" i="14"/>
  <c r="BP124" i="14"/>
  <c r="BO124" i="14"/>
  <c r="BN124" i="14"/>
  <c r="BM124" i="14"/>
  <c r="BL124" i="14"/>
  <c r="BK124" i="14"/>
  <c r="BJ124" i="14"/>
  <c r="BI124" i="14"/>
  <c r="BH124" i="14"/>
  <c r="BG124" i="14"/>
  <c r="BF124" i="14"/>
  <c r="BE124" i="14"/>
  <c r="AN124" i="14"/>
  <c r="AU124" i="14" s="1"/>
  <c r="CQ123" i="14"/>
  <c r="CP123" i="14"/>
  <c r="CH123" i="14"/>
  <c r="CD123" i="14"/>
  <c r="CC123" i="14"/>
  <c r="CA123" i="14"/>
  <c r="BZ123" i="14"/>
  <c r="BY123" i="14"/>
  <c r="BX123" i="14"/>
  <c r="BW123" i="14"/>
  <c r="BV123" i="14"/>
  <c r="BT123" i="14"/>
  <c r="BS123" i="14"/>
  <c r="CI123" i="14" s="1"/>
  <c r="BR123" i="14"/>
  <c r="BQ123" i="14"/>
  <c r="BP123" i="14"/>
  <c r="BO123" i="14"/>
  <c r="BN123" i="14"/>
  <c r="BM123" i="14"/>
  <c r="BL123" i="14"/>
  <c r="BK123" i="14"/>
  <c r="BJ123" i="14"/>
  <c r="BI123" i="14"/>
  <c r="BH123" i="14"/>
  <c r="BG123" i="14"/>
  <c r="BF123" i="14"/>
  <c r="BE123" i="14"/>
  <c r="AN123" i="14"/>
  <c r="AU123" i="14" s="1"/>
  <c r="CQ122" i="14"/>
  <c r="CP122" i="14"/>
  <c r="CM122" i="14"/>
  <c r="CI122" i="14"/>
  <c r="CH122" i="14"/>
  <c r="CD122" i="14"/>
  <c r="CC122" i="14"/>
  <c r="CA122" i="14"/>
  <c r="BZ122" i="14"/>
  <c r="BY122" i="14"/>
  <c r="BX122" i="14"/>
  <c r="BW122" i="14"/>
  <c r="BV122" i="14"/>
  <c r="BT122" i="14"/>
  <c r="BS122" i="14"/>
  <c r="CO122" i="14" s="1"/>
  <c r="BR122" i="14"/>
  <c r="BQ122" i="14"/>
  <c r="BP122" i="14"/>
  <c r="BO122" i="14"/>
  <c r="BN122" i="14"/>
  <c r="BM122" i="14"/>
  <c r="BL122" i="14"/>
  <c r="BK122" i="14"/>
  <c r="BJ122" i="14"/>
  <c r="BI122" i="14"/>
  <c r="BH122" i="14"/>
  <c r="BG122" i="14"/>
  <c r="BF122" i="14"/>
  <c r="BE122" i="14"/>
  <c r="AN122" i="14"/>
  <c r="AU122" i="14" s="1"/>
  <c r="CD121" i="14"/>
  <c r="CC121" i="14"/>
  <c r="CA121" i="14"/>
  <c r="BZ121" i="14"/>
  <c r="CM121" i="14" s="1"/>
  <c r="BY121" i="14"/>
  <c r="BX121" i="14"/>
  <c r="BW121" i="14"/>
  <c r="BV121" i="14"/>
  <c r="BT121" i="14"/>
  <c r="BS121" i="14"/>
  <c r="BR121" i="14"/>
  <c r="BQ121" i="14"/>
  <c r="BN121" i="14"/>
  <c r="BM121" i="14"/>
  <c r="BL121" i="14"/>
  <c r="BK121" i="14"/>
  <c r="BJ121" i="14"/>
  <c r="BI121" i="14"/>
  <c r="BG121" i="14"/>
  <c r="BF121" i="14"/>
  <c r="BE121" i="14"/>
  <c r="AN121" i="14"/>
  <c r="AU121" i="14" s="1"/>
  <c r="BP121" i="14" s="1"/>
  <c r="CD120" i="14"/>
  <c r="CC120" i="14"/>
  <c r="CA120" i="14"/>
  <c r="BZ120" i="14"/>
  <c r="BY120" i="14"/>
  <c r="BX120" i="14"/>
  <c r="BW120" i="14"/>
  <c r="BV120" i="14"/>
  <c r="BT120" i="14"/>
  <c r="BS120" i="14"/>
  <c r="BR120" i="14"/>
  <c r="BQ120" i="14"/>
  <c r="BO120" i="14"/>
  <c r="BN120" i="14"/>
  <c r="BM120" i="14"/>
  <c r="BL120" i="14"/>
  <c r="BK120" i="14"/>
  <c r="BJ120" i="14"/>
  <c r="BI120" i="14"/>
  <c r="BG120" i="14"/>
  <c r="BF120" i="14"/>
  <c r="BE120" i="14"/>
  <c r="AN120" i="14"/>
  <c r="AU120" i="14" s="1"/>
  <c r="BP120" i="14" s="1"/>
  <c r="CL119" i="14"/>
  <c r="CD119" i="14"/>
  <c r="CC119" i="14"/>
  <c r="CA119" i="14"/>
  <c r="BZ119" i="14"/>
  <c r="BY119" i="14"/>
  <c r="BX119" i="14"/>
  <c r="BW119" i="14"/>
  <c r="BV119" i="14"/>
  <c r="BT119" i="14"/>
  <c r="BS119" i="14"/>
  <c r="BR119" i="14"/>
  <c r="BQ119" i="14"/>
  <c r="BP119" i="14"/>
  <c r="BO119" i="14"/>
  <c r="BN119" i="14"/>
  <c r="BM119" i="14"/>
  <c r="BL119" i="14"/>
  <c r="BK119" i="14"/>
  <c r="BJ119" i="14"/>
  <c r="BI119" i="14"/>
  <c r="BH119" i="14"/>
  <c r="BG119" i="14"/>
  <c r="BF119" i="14"/>
  <c r="BE119" i="14"/>
  <c r="AN119" i="14"/>
  <c r="AU119" i="14" s="1"/>
  <c r="CD118" i="14"/>
  <c r="CC118" i="14"/>
  <c r="BU118" i="14" s="1"/>
  <c r="CA118" i="14"/>
  <c r="BZ118" i="14"/>
  <c r="CM118" i="14" s="1"/>
  <c r="BY118" i="14"/>
  <c r="BX118" i="14"/>
  <c r="BW118" i="14"/>
  <c r="BV118" i="14"/>
  <c r="BT118" i="14"/>
  <c r="BS118" i="14"/>
  <c r="CO118" i="14" s="1"/>
  <c r="BR118" i="14"/>
  <c r="BQ118" i="14"/>
  <c r="BN118" i="14"/>
  <c r="BM118" i="14"/>
  <c r="BL118" i="14"/>
  <c r="BK118" i="14"/>
  <c r="BJ118" i="14"/>
  <c r="BI118" i="14"/>
  <c r="BG118" i="14"/>
  <c r="BF118" i="14"/>
  <c r="BE118" i="14"/>
  <c r="AN118" i="14"/>
  <c r="AU118" i="14" s="1"/>
  <c r="BP118" i="14" s="1"/>
  <c r="CL117" i="14"/>
  <c r="CD117" i="14"/>
  <c r="CC117" i="14"/>
  <c r="CA117" i="14"/>
  <c r="BZ117" i="14"/>
  <c r="BY117" i="14"/>
  <c r="BX117" i="14"/>
  <c r="BW117" i="14"/>
  <c r="BV117" i="14"/>
  <c r="BT117" i="14"/>
  <c r="BS117" i="14"/>
  <c r="BR117" i="14"/>
  <c r="BQ117" i="14"/>
  <c r="BN117" i="14"/>
  <c r="BM117" i="14"/>
  <c r="BL117" i="14"/>
  <c r="BK117" i="14"/>
  <c r="BJ117" i="14"/>
  <c r="BI117" i="14"/>
  <c r="BG117" i="14"/>
  <c r="BF117" i="14"/>
  <c r="BE117" i="14"/>
  <c r="AN117" i="14"/>
  <c r="AU117" i="14" s="1"/>
  <c r="BP117" i="14" s="1"/>
  <c r="CD116" i="14"/>
  <c r="CC116" i="14"/>
  <c r="CA116" i="14"/>
  <c r="BZ116" i="14"/>
  <c r="CM116" i="14" s="1"/>
  <c r="BY116" i="14"/>
  <c r="BX116" i="14"/>
  <c r="BW116" i="14"/>
  <c r="BV116" i="14"/>
  <c r="BT116" i="14"/>
  <c r="BS116" i="14"/>
  <c r="BR116" i="14"/>
  <c r="BQ116" i="14"/>
  <c r="BN116" i="14"/>
  <c r="BM116" i="14"/>
  <c r="BL116" i="14"/>
  <c r="BK116" i="14"/>
  <c r="BJ116" i="14"/>
  <c r="BI116" i="14"/>
  <c r="BH116" i="14"/>
  <c r="BF116" i="14"/>
  <c r="BE116" i="14"/>
  <c r="AN116" i="14"/>
  <c r="CQ115" i="14"/>
  <c r="CP115" i="14"/>
  <c r="CH115" i="14"/>
  <c r="CD115" i="14"/>
  <c r="CC115" i="14"/>
  <c r="CA115" i="14"/>
  <c r="BZ115" i="14"/>
  <c r="BY115" i="14"/>
  <c r="BX115" i="14"/>
  <c r="BW115" i="14"/>
  <c r="BV115" i="14"/>
  <c r="BT115" i="14"/>
  <c r="BS115" i="14"/>
  <c r="CI115" i="14" s="1"/>
  <c r="BR115" i="14"/>
  <c r="BQ115" i="14"/>
  <c r="BP115" i="14"/>
  <c r="BO115" i="14"/>
  <c r="BN115" i="14"/>
  <c r="BM115" i="14"/>
  <c r="BL115" i="14"/>
  <c r="BK115" i="14"/>
  <c r="BJ115" i="14"/>
  <c r="BI115" i="14"/>
  <c r="BH115" i="14"/>
  <c r="BG115" i="14"/>
  <c r="BF115" i="14"/>
  <c r="BE115" i="14"/>
  <c r="AN115" i="14"/>
  <c r="AU115" i="14" s="1"/>
  <c r="CQ114" i="14"/>
  <c r="CP114" i="14"/>
  <c r="CM114" i="14"/>
  <c r="CI114" i="14"/>
  <c r="CH114" i="14"/>
  <c r="CD114" i="14"/>
  <c r="CC114" i="14"/>
  <c r="CA114" i="14"/>
  <c r="BZ114" i="14"/>
  <c r="BY114" i="14"/>
  <c r="BX114" i="14"/>
  <c r="BW114" i="14"/>
  <c r="BV114" i="14"/>
  <c r="BT114" i="14"/>
  <c r="BS114" i="14"/>
  <c r="CO114" i="14" s="1"/>
  <c r="BR114" i="14"/>
  <c r="BQ114" i="14"/>
  <c r="BP114" i="14"/>
  <c r="BO114" i="14"/>
  <c r="BN114" i="14"/>
  <c r="BM114" i="14"/>
  <c r="BL114" i="14"/>
  <c r="BK114" i="14"/>
  <c r="BJ114" i="14"/>
  <c r="BI114" i="14"/>
  <c r="BH114" i="14"/>
  <c r="BG114" i="14"/>
  <c r="BF114" i="14"/>
  <c r="BE114" i="14"/>
  <c r="AN114" i="14"/>
  <c r="AU114" i="14" s="1"/>
  <c r="CD113" i="14"/>
  <c r="CC113" i="14"/>
  <c r="CA113" i="14"/>
  <c r="BZ113" i="14"/>
  <c r="BY113" i="14"/>
  <c r="BX113" i="14"/>
  <c r="BW113" i="14"/>
  <c r="BV113" i="14"/>
  <c r="BT113" i="14"/>
  <c r="BS113" i="14"/>
  <c r="BR113" i="14"/>
  <c r="BQ113" i="14"/>
  <c r="BP113" i="14"/>
  <c r="BO113" i="14"/>
  <c r="BN113" i="14"/>
  <c r="BM113" i="14"/>
  <c r="BL113" i="14"/>
  <c r="BK113" i="14"/>
  <c r="BJ113" i="14"/>
  <c r="BI113" i="14"/>
  <c r="BH113" i="14"/>
  <c r="BG113" i="14"/>
  <c r="BF113" i="14"/>
  <c r="BE113" i="14"/>
  <c r="AN113" i="14"/>
  <c r="AU113" i="14" s="1"/>
  <c r="CQ112" i="14"/>
  <c r="CI112" i="14"/>
  <c r="CD112" i="14"/>
  <c r="CC112" i="14"/>
  <c r="CA112" i="14"/>
  <c r="BZ112" i="14"/>
  <c r="BY112" i="14"/>
  <c r="BX112" i="14"/>
  <c r="BW112" i="14"/>
  <c r="BV112" i="14"/>
  <c r="BT112" i="14"/>
  <c r="BS112" i="14"/>
  <c r="CL112" i="14" s="1"/>
  <c r="BR112" i="14"/>
  <c r="BQ112" i="14"/>
  <c r="BP112" i="14"/>
  <c r="BO112" i="14"/>
  <c r="BN112" i="14"/>
  <c r="BM112" i="14"/>
  <c r="BL112" i="14"/>
  <c r="BK112" i="14"/>
  <c r="BJ112" i="14"/>
  <c r="BI112" i="14"/>
  <c r="BH112" i="14"/>
  <c r="BG112" i="14"/>
  <c r="BF112" i="14"/>
  <c r="BE112" i="14"/>
  <c r="AN112" i="14"/>
  <c r="AU112" i="14" s="1"/>
  <c r="CL111" i="14"/>
  <c r="CI111" i="14"/>
  <c r="CD111" i="14"/>
  <c r="CC111" i="14"/>
  <c r="CA111" i="14"/>
  <c r="BZ111" i="14"/>
  <c r="BY111" i="14"/>
  <c r="BX111" i="14"/>
  <c r="BW111" i="14"/>
  <c r="BV111" i="14"/>
  <c r="BT111" i="14"/>
  <c r="BS111" i="14"/>
  <c r="BR111" i="14"/>
  <c r="BQ111" i="14"/>
  <c r="BP111" i="14"/>
  <c r="BO111" i="14"/>
  <c r="BN111" i="14"/>
  <c r="BM111" i="14"/>
  <c r="BL111" i="14"/>
  <c r="BK111" i="14"/>
  <c r="BJ111" i="14"/>
  <c r="BI111" i="14"/>
  <c r="BH111" i="14"/>
  <c r="BG111" i="14"/>
  <c r="BF111" i="14"/>
  <c r="BE111" i="14"/>
  <c r="AN111" i="14"/>
  <c r="AU111" i="14" s="1"/>
  <c r="CM110" i="14"/>
  <c r="CD110" i="14"/>
  <c r="CC110" i="14"/>
  <c r="CA110" i="14"/>
  <c r="BZ110" i="14"/>
  <c r="BY110" i="14"/>
  <c r="BX110" i="14"/>
  <c r="BW110" i="14"/>
  <c r="BV110" i="14"/>
  <c r="BT110" i="14"/>
  <c r="BS110" i="14"/>
  <c r="BR110" i="14"/>
  <c r="BQ110" i="14"/>
  <c r="BO110" i="14"/>
  <c r="BN110" i="14"/>
  <c r="BM110" i="14"/>
  <c r="BL110" i="14"/>
  <c r="BK110" i="14"/>
  <c r="BJ110" i="14"/>
  <c r="BI110" i="14"/>
  <c r="BG110" i="14"/>
  <c r="BF110" i="14"/>
  <c r="BE110" i="14"/>
  <c r="AN110" i="14"/>
  <c r="AU110" i="14" s="1"/>
  <c r="BP110" i="14" s="1"/>
  <c r="CP109" i="14"/>
  <c r="CL109" i="14"/>
  <c r="CH109" i="14"/>
  <c r="CD109" i="14"/>
  <c r="CC109" i="14"/>
  <c r="CA109" i="14"/>
  <c r="BZ109" i="14"/>
  <c r="BY109" i="14"/>
  <c r="BX109" i="14"/>
  <c r="BW109" i="14"/>
  <c r="BV109" i="14"/>
  <c r="BT109" i="14"/>
  <c r="BS109" i="14"/>
  <c r="BR109" i="14"/>
  <c r="BQ109" i="14"/>
  <c r="BP109" i="14"/>
  <c r="BO109" i="14"/>
  <c r="BN109" i="14"/>
  <c r="BM109" i="14"/>
  <c r="BL109" i="14"/>
  <c r="BK109" i="14"/>
  <c r="BJ109" i="14"/>
  <c r="BI109" i="14"/>
  <c r="BH109" i="14"/>
  <c r="BG109" i="14"/>
  <c r="BF109" i="14"/>
  <c r="BE109" i="14"/>
  <c r="AN109" i="14"/>
  <c r="AU109" i="14" s="1"/>
  <c r="CD108" i="14"/>
  <c r="CC108" i="14"/>
  <c r="CA108" i="14"/>
  <c r="BZ108" i="14"/>
  <c r="CM108" i="14" s="1"/>
  <c r="BY108" i="14"/>
  <c r="BX108" i="14"/>
  <c r="BW108" i="14"/>
  <c r="BV108" i="14"/>
  <c r="BT108" i="14"/>
  <c r="BS108" i="14"/>
  <c r="BR108" i="14"/>
  <c r="BQ108" i="14"/>
  <c r="BN108" i="14"/>
  <c r="BM108" i="14"/>
  <c r="BL108" i="14"/>
  <c r="BK108" i="14"/>
  <c r="BJ108" i="14"/>
  <c r="BI108" i="14"/>
  <c r="BF108" i="14"/>
  <c r="BE108" i="14"/>
  <c r="AN108" i="14"/>
  <c r="AU108" i="14" s="1"/>
  <c r="BP108" i="14" s="1"/>
  <c r="CQ107" i="14"/>
  <c r="CP107" i="14"/>
  <c r="CH107" i="14"/>
  <c r="CD107" i="14"/>
  <c r="CC107" i="14"/>
  <c r="CA107" i="14"/>
  <c r="BZ107" i="14"/>
  <c r="BY107" i="14"/>
  <c r="BX107" i="14"/>
  <c r="BW107" i="14"/>
  <c r="BV107" i="14"/>
  <c r="BT107" i="14"/>
  <c r="BS107" i="14"/>
  <c r="CI107" i="14" s="1"/>
  <c r="BR107" i="14"/>
  <c r="BQ107" i="14"/>
  <c r="BP107" i="14"/>
  <c r="BO107" i="14"/>
  <c r="BN107" i="14"/>
  <c r="BM107" i="14"/>
  <c r="BL107" i="14"/>
  <c r="BK107" i="14"/>
  <c r="BJ107" i="14"/>
  <c r="BI107" i="14"/>
  <c r="BH107" i="14"/>
  <c r="BG107" i="14"/>
  <c r="BF107" i="14"/>
  <c r="BE107" i="14"/>
  <c r="AN107" i="14"/>
  <c r="AU107" i="14" s="1"/>
  <c r="CD106" i="14"/>
  <c r="CC106" i="14"/>
  <c r="CA106" i="14"/>
  <c r="BZ106" i="14"/>
  <c r="CM106" i="14" s="1"/>
  <c r="BY106" i="14"/>
  <c r="BX106" i="14"/>
  <c r="BW106" i="14"/>
  <c r="BV106" i="14"/>
  <c r="BT106" i="14"/>
  <c r="BS106" i="14"/>
  <c r="BR106" i="14"/>
  <c r="BQ106" i="14"/>
  <c r="BN106" i="14"/>
  <c r="BM106" i="14"/>
  <c r="BL106" i="14"/>
  <c r="BK106" i="14"/>
  <c r="BJ106" i="14"/>
  <c r="BI106" i="14"/>
  <c r="BH106" i="14"/>
  <c r="BF106" i="14"/>
  <c r="BE106" i="14"/>
  <c r="AN106" i="14"/>
  <c r="CD105" i="14"/>
  <c r="CC105" i="14"/>
  <c r="CA105" i="14"/>
  <c r="BZ105" i="14"/>
  <c r="BY105" i="14"/>
  <c r="BX105" i="14"/>
  <c r="BW105" i="14"/>
  <c r="BV105" i="14"/>
  <c r="BT105" i="14"/>
  <c r="BS105" i="14"/>
  <c r="BR105" i="14"/>
  <c r="BQ105" i="14"/>
  <c r="BN105" i="14"/>
  <c r="BM105" i="14"/>
  <c r="BL105" i="14"/>
  <c r="BK105" i="14"/>
  <c r="BJ105" i="14"/>
  <c r="BI105" i="14"/>
  <c r="BF105" i="14"/>
  <c r="BE105" i="14"/>
  <c r="AN105" i="14"/>
  <c r="AU105" i="14" s="1"/>
  <c r="BP105" i="14" s="1"/>
  <c r="CD104" i="14"/>
  <c r="CC104" i="14"/>
  <c r="CA104" i="14"/>
  <c r="BZ104" i="14"/>
  <c r="BY104" i="14"/>
  <c r="BX104" i="14"/>
  <c r="BW104" i="14"/>
  <c r="BV104" i="14"/>
  <c r="BT104" i="14"/>
  <c r="BS104" i="14"/>
  <c r="BR104" i="14"/>
  <c r="BQ104" i="14"/>
  <c r="BN104" i="14"/>
  <c r="BM104" i="14"/>
  <c r="BL104" i="14"/>
  <c r="BK104" i="14"/>
  <c r="BJ104" i="14"/>
  <c r="BI104" i="14"/>
  <c r="BG104" i="14"/>
  <c r="BF104" i="14"/>
  <c r="BE104" i="14"/>
  <c r="AN104" i="14"/>
  <c r="AU104" i="14" s="1"/>
  <c r="BP104" i="14" s="1"/>
  <c r="CD103" i="14"/>
  <c r="CC103" i="14"/>
  <c r="CA103" i="14"/>
  <c r="BZ103" i="14"/>
  <c r="BY103" i="14"/>
  <c r="BX103" i="14"/>
  <c r="BW103" i="14"/>
  <c r="BV103" i="14"/>
  <c r="BT103" i="14"/>
  <c r="BS103" i="14"/>
  <c r="CL103" i="14" s="1"/>
  <c r="BR103" i="14"/>
  <c r="BQ103" i="14"/>
  <c r="BO103" i="14"/>
  <c r="BN103" i="14"/>
  <c r="BM103" i="14"/>
  <c r="BL103" i="14"/>
  <c r="BK103" i="14"/>
  <c r="BJ103" i="14"/>
  <c r="BI103" i="14"/>
  <c r="BG103" i="14"/>
  <c r="BF103" i="14"/>
  <c r="BE103" i="14"/>
  <c r="AN103" i="14"/>
  <c r="AU103" i="14" s="1"/>
  <c r="BP103" i="14" s="1"/>
  <c r="CD102" i="14"/>
  <c r="CC102" i="14"/>
  <c r="CA102" i="14"/>
  <c r="BZ102" i="14"/>
  <c r="CM102" i="14" s="1"/>
  <c r="BY102" i="14"/>
  <c r="BX102" i="14"/>
  <c r="BW102" i="14"/>
  <c r="BV102" i="14"/>
  <c r="BT102" i="14"/>
  <c r="BS102" i="14"/>
  <c r="BR102" i="14"/>
  <c r="BQ102" i="14"/>
  <c r="BN102" i="14"/>
  <c r="BM102" i="14"/>
  <c r="BL102" i="14"/>
  <c r="BK102" i="14"/>
  <c r="BJ102" i="14"/>
  <c r="BI102" i="14"/>
  <c r="BF102" i="14"/>
  <c r="BE102" i="14"/>
  <c r="AN102" i="14"/>
  <c r="CP101" i="14"/>
  <c r="CL101" i="14"/>
  <c r="CH101" i="14"/>
  <c r="CD101" i="14"/>
  <c r="CC101" i="14"/>
  <c r="CA101" i="14"/>
  <c r="BZ101" i="14"/>
  <c r="BY101" i="14"/>
  <c r="BX101" i="14"/>
  <c r="BW101" i="14"/>
  <c r="BV101" i="14"/>
  <c r="BT101" i="14"/>
  <c r="BS101" i="14"/>
  <c r="BR101" i="14"/>
  <c r="BQ101" i="14"/>
  <c r="BP101" i="14"/>
  <c r="BO101" i="14"/>
  <c r="BN101" i="14"/>
  <c r="BM101" i="14"/>
  <c r="BL101" i="14"/>
  <c r="BK101" i="14"/>
  <c r="BJ101" i="14"/>
  <c r="BI101" i="14"/>
  <c r="BH101" i="14"/>
  <c r="BG101" i="14"/>
  <c r="BF101" i="14"/>
  <c r="BE101" i="14"/>
  <c r="AN101" i="14"/>
  <c r="AU101" i="14" s="1"/>
  <c r="CD100" i="14"/>
  <c r="CC100" i="14"/>
  <c r="CA100" i="14"/>
  <c r="BZ100" i="14"/>
  <c r="CM100" i="14" s="1"/>
  <c r="BY100" i="14"/>
  <c r="BX100" i="14"/>
  <c r="BW100" i="14"/>
  <c r="BV100" i="14"/>
  <c r="BT100" i="14"/>
  <c r="BS100" i="14"/>
  <c r="BR100" i="14"/>
  <c r="BQ100" i="14"/>
  <c r="BN100" i="14"/>
  <c r="BM100" i="14"/>
  <c r="BL100" i="14"/>
  <c r="BK100" i="14"/>
  <c r="BJ100" i="14"/>
  <c r="BI100" i="14"/>
  <c r="BF100" i="14"/>
  <c r="BE100" i="14"/>
  <c r="AN100" i="14"/>
  <c r="AU100" i="14" s="1"/>
  <c r="BP100" i="14" s="1"/>
  <c r="CH99" i="14"/>
  <c r="CD99" i="14"/>
  <c r="CC99" i="14"/>
  <c r="CA99" i="14"/>
  <c r="BZ99" i="14"/>
  <c r="BY99" i="14"/>
  <c r="BX99" i="14"/>
  <c r="BW99" i="14"/>
  <c r="BV99" i="14"/>
  <c r="BT99" i="14"/>
  <c r="BS99" i="14"/>
  <c r="CM99" i="14" s="1"/>
  <c r="BR99" i="14"/>
  <c r="BQ99" i="14"/>
  <c r="BP99" i="14"/>
  <c r="BO99" i="14"/>
  <c r="BN99" i="14"/>
  <c r="BM99" i="14"/>
  <c r="BL99" i="14"/>
  <c r="BK99" i="14"/>
  <c r="BJ99" i="14"/>
  <c r="BI99" i="14"/>
  <c r="BH99" i="14"/>
  <c r="BG99" i="14"/>
  <c r="BF99" i="14"/>
  <c r="BE99" i="14"/>
  <c r="AN99" i="14"/>
  <c r="AU99" i="14" s="1"/>
  <c r="CL98" i="14"/>
  <c r="CD98" i="14"/>
  <c r="CF98" i="14" s="1"/>
  <c r="CC98" i="14"/>
  <c r="CA98" i="14"/>
  <c r="BZ98" i="14"/>
  <c r="BY98" i="14"/>
  <c r="BX98" i="14"/>
  <c r="BW98" i="14"/>
  <c r="BV98" i="14"/>
  <c r="BT98" i="14"/>
  <c r="BS98" i="14"/>
  <c r="CQ98" i="14" s="1"/>
  <c r="BR98" i="14"/>
  <c r="BQ98" i="14"/>
  <c r="BP98" i="14"/>
  <c r="BO98" i="14"/>
  <c r="BN98" i="14"/>
  <c r="BM98" i="14"/>
  <c r="BL98" i="14"/>
  <c r="BK98" i="14"/>
  <c r="BJ98" i="14"/>
  <c r="BI98" i="14"/>
  <c r="BH98" i="14"/>
  <c r="BG98" i="14"/>
  <c r="BF98" i="14"/>
  <c r="BE98" i="14"/>
  <c r="AN98" i="14"/>
  <c r="AU98" i="14" s="1"/>
  <c r="CP97" i="14"/>
  <c r="CD97" i="14"/>
  <c r="CC97" i="14"/>
  <c r="CA97" i="14"/>
  <c r="BZ97" i="14"/>
  <c r="BY97" i="14"/>
  <c r="BX97" i="14"/>
  <c r="BW97" i="14"/>
  <c r="BV97" i="14"/>
  <c r="BT97" i="14"/>
  <c r="BS97" i="14"/>
  <c r="CQ97" i="14" s="1"/>
  <c r="BR97" i="14"/>
  <c r="BQ97" i="14"/>
  <c r="BP97" i="14"/>
  <c r="BO97" i="14"/>
  <c r="BN97" i="14"/>
  <c r="BM97" i="14"/>
  <c r="BL97" i="14"/>
  <c r="BK97" i="14"/>
  <c r="BJ97" i="14"/>
  <c r="BI97" i="14"/>
  <c r="BH97" i="14"/>
  <c r="BG97" i="14"/>
  <c r="BF97" i="14"/>
  <c r="BE97" i="14"/>
  <c r="AN97" i="14"/>
  <c r="AU97" i="14" s="1"/>
  <c r="CJ96" i="14"/>
  <c r="CD96" i="14"/>
  <c r="CC96" i="14"/>
  <c r="CA96" i="14"/>
  <c r="BZ96" i="14"/>
  <c r="BY96" i="14"/>
  <c r="BX96" i="14"/>
  <c r="BW96" i="14"/>
  <c r="BV96" i="14"/>
  <c r="BT96" i="14"/>
  <c r="BS96" i="14"/>
  <c r="CL96" i="14" s="1"/>
  <c r="BR96" i="14"/>
  <c r="BQ96" i="14"/>
  <c r="BP96" i="14"/>
  <c r="BO96" i="14"/>
  <c r="BN96" i="14"/>
  <c r="BM96" i="14"/>
  <c r="BL96" i="14"/>
  <c r="BK96" i="14"/>
  <c r="BJ96" i="14"/>
  <c r="BI96" i="14"/>
  <c r="BH96" i="14"/>
  <c r="BG96" i="14"/>
  <c r="BF96" i="14"/>
  <c r="BE96" i="14"/>
  <c r="AN96" i="14"/>
  <c r="AU96" i="14" s="1"/>
  <c r="CD95" i="14"/>
  <c r="CC95" i="14"/>
  <c r="CA95" i="14"/>
  <c r="BZ95" i="14"/>
  <c r="BY95" i="14"/>
  <c r="BX95" i="14"/>
  <c r="BW95" i="14"/>
  <c r="BV95" i="14"/>
  <c r="BT95" i="14"/>
  <c r="BS95" i="14"/>
  <c r="CM95" i="14" s="1"/>
  <c r="BR95" i="14"/>
  <c r="BQ95" i="14"/>
  <c r="BO95" i="14"/>
  <c r="BN95" i="14"/>
  <c r="BM95" i="14"/>
  <c r="BL95" i="14"/>
  <c r="BK95" i="14"/>
  <c r="BJ95" i="14"/>
  <c r="BI95" i="14"/>
  <c r="BG95" i="14"/>
  <c r="BF95" i="14"/>
  <c r="BE95" i="14"/>
  <c r="AN95" i="14"/>
  <c r="AU95" i="14" s="1"/>
  <c r="BP95" i="14" s="1"/>
  <c r="CD94" i="14"/>
  <c r="CC94" i="14"/>
  <c r="CA94" i="14"/>
  <c r="BZ94" i="14"/>
  <c r="BY94" i="14"/>
  <c r="BX94" i="14"/>
  <c r="BW94" i="14"/>
  <c r="BV94" i="14"/>
  <c r="BT94" i="14"/>
  <c r="BS94" i="14"/>
  <c r="BR94" i="14"/>
  <c r="BQ94" i="14"/>
  <c r="BP94" i="14"/>
  <c r="BO94" i="14"/>
  <c r="BN94" i="14"/>
  <c r="BM94" i="14"/>
  <c r="BL94" i="14"/>
  <c r="BK94" i="14"/>
  <c r="BJ94" i="14"/>
  <c r="BI94" i="14"/>
  <c r="BH94" i="14"/>
  <c r="BG94" i="14"/>
  <c r="BF94" i="14"/>
  <c r="BE94" i="14"/>
  <c r="AN94" i="14"/>
  <c r="AU94" i="14" s="1"/>
  <c r="CD93" i="14"/>
  <c r="CF93" i="14" s="1"/>
  <c r="CC93" i="14"/>
  <c r="CA93" i="14"/>
  <c r="BZ93" i="14"/>
  <c r="BY93" i="14"/>
  <c r="BX93" i="14"/>
  <c r="BW93" i="14"/>
  <c r="BV93" i="14"/>
  <c r="BT93" i="14"/>
  <c r="BS93" i="14"/>
  <c r="BR93" i="14"/>
  <c r="BQ93" i="14"/>
  <c r="BN93" i="14"/>
  <c r="BM93" i="14"/>
  <c r="BL93" i="14"/>
  <c r="BK93" i="14"/>
  <c r="BJ93" i="14"/>
  <c r="BI93" i="14"/>
  <c r="BF93" i="14"/>
  <c r="BE93" i="14"/>
  <c r="AN93" i="14"/>
  <c r="AU93" i="14" s="1"/>
  <c r="BP93" i="14" s="1"/>
  <c r="CD92" i="14"/>
  <c r="CF92" i="14" s="1"/>
  <c r="CC92" i="14"/>
  <c r="CA92" i="14"/>
  <c r="CN92" i="14" s="1"/>
  <c r="BZ92" i="14"/>
  <c r="BY92" i="14"/>
  <c r="CJ92" i="14" s="1"/>
  <c r="BX92" i="14"/>
  <c r="BW92" i="14"/>
  <c r="BV92" i="14"/>
  <c r="BT92" i="14"/>
  <c r="BS92" i="14"/>
  <c r="BR92" i="14"/>
  <c r="BQ92" i="14"/>
  <c r="BN92" i="14"/>
  <c r="BM92" i="14"/>
  <c r="BL92" i="14"/>
  <c r="BK92" i="14"/>
  <c r="BJ92" i="14"/>
  <c r="BI92" i="14"/>
  <c r="BH92" i="14"/>
  <c r="BF92" i="14"/>
  <c r="BE92" i="14"/>
  <c r="AN92" i="14"/>
  <c r="CD91" i="14"/>
  <c r="CC91" i="14"/>
  <c r="CA91" i="14"/>
  <c r="BZ91" i="14"/>
  <c r="BY91" i="14"/>
  <c r="BX91" i="14"/>
  <c r="BW91" i="14"/>
  <c r="BU91" i="14" s="1"/>
  <c r="CB91" i="14" s="1"/>
  <c r="BV91" i="14"/>
  <c r="BT91" i="14"/>
  <c r="BS91" i="14"/>
  <c r="BR91" i="14"/>
  <c r="BQ91" i="14"/>
  <c r="BN91" i="14"/>
  <c r="BM91" i="14"/>
  <c r="BL91" i="14"/>
  <c r="BK91" i="14"/>
  <c r="BJ91" i="14"/>
  <c r="BI91" i="14"/>
  <c r="BF91" i="14"/>
  <c r="BE91" i="14"/>
  <c r="AN91" i="14"/>
  <c r="AU91" i="14" s="1"/>
  <c r="BP91" i="14" s="1"/>
  <c r="CD90" i="14"/>
  <c r="CF90" i="14" s="1"/>
  <c r="CC90" i="14"/>
  <c r="CA90" i="14"/>
  <c r="BZ90" i="14"/>
  <c r="BY90" i="14"/>
  <c r="BX90" i="14"/>
  <c r="BW90" i="14"/>
  <c r="BV90" i="14"/>
  <c r="BT90" i="14"/>
  <c r="BS90" i="14"/>
  <c r="BR90" i="14"/>
  <c r="BQ90" i="14"/>
  <c r="BN90" i="14"/>
  <c r="BM90" i="14"/>
  <c r="BL90" i="14"/>
  <c r="BK90" i="14"/>
  <c r="BJ90" i="14"/>
  <c r="BI90" i="14"/>
  <c r="BF90" i="14"/>
  <c r="BE90" i="14"/>
  <c r="AN90" i="14"/>
  <c r="AU90" i="14" s="1"/>
  <c r="BP90" i="14" s="1"/>
  <c r="CD89" i="14"/>
  <c r="CC89" i="14"/>
  <c r="CA89" i="14"/>
  <c r="BZ89" i="14"/>
  <c r="BY89" i="14"/>
  <c r="BX89" i="14"/>
  <c r="BW89" i="14"/>
  <c r="BV89" i="14"/>
  <c r="BT89" i="14"/>
  <c r="BS89" i="14"/>
  <c r="BR89" i="14"/>
  <c r="BQ89" i="14"/>
  <c r="BN89" i="14"/>
  <c r="BM89" i="14"/>
  <c r="BL89" i="14"/>
  <c r="BK89" i="14"/>
  <c r="BJ89" i="14"/>
  <c r="BI89" i="14"/>
  <c r="BH89" i="14"/>
  <c r="BF89" i="14"/>
  <c r="BE89" i="14"/>
  <c r="AN89" i="14"/>
  <c r="CD88" i="14"/>
  <c r="CF88" i="14" s="1"/>
  <c r="CC88" i="14"/>
  <c r="CA88" i="14"/>
  <c r="BZ88" i="14"/>
  <c r="BY88" i="14"/>
  <c r="BX88" i="14"/>
  <c r="BW88" i="14"/>
  <c r="BV88" i="14"/>
  <c r="BT88" i="14"/>
  <c r="BS88" i="14"/>
  <c r="BR88" i="14"/>
  <c r="BQ88" i="14"/>
  <c r="BO88" i="14"/>
  <c r="BN88" i="14"/>
  <c r="BM88" i="14"/>
  <c r="BL88" i="14"/>
  <c r="BK88" i="14"/>
  <c r="BJ88" i="14"/>
  <c r="BI88" i="14"/>
  <c r="BG88" i="14"/>
  <c r="BF88" i="14"/>
  <c r="BE88" i="14"/>
  <c r="AN88" i="14"/>
  <c r="AU88" i="14" s="1"/>
  <c r="BP88" i="14" s="1"/>
  <c r="CD87" i="14"/>
  <c r="CC87" i="14"/>
  <c r="CA87" i="14"/>
  <c r="BZ87" i="14"/>
  <c r="BY87" i="14"/>
  <c r="BX87" i="14"/>
  <c r="BW87" i="14"/>
  <c r="BV87" i="14"/>
  <c r="BT87" i="14"/>
  <c r="BS87" i="14"/>
  <c r="BR87" i="14"/>
  <c r="BQ87" i="14"/>
  <c r="BO87" i="14"/>
  <c r="BN87" i="14"/>
  <c r="BM87" i="14"/>
  <c r="BL87" i="14"/>
  <c r="BK87" i="14"/>
  <c r="BJ87" i="14"/>
  <c r="BI87" i="14"/>
  <c r="BG87" i="14"/>
  <c r="BF87" i="14"/>
  <c r="BE87" i="14"/>
  <c r="AN87" i="14"/>
  <c r="AU87" i="14" s="1"/>
  <c r="BP87" i="14" s="1"/>
  <c r="CK86" i="14"/>
  <c r="CD86" i="14"/>
  <c r="CC86" i="14"/>
  <c r="CA86" i="14"/>
  <c r="BZ86" i="14"/>
  <c r="BY86" i="14"/>
  <c r="BX86" i="14"/>
  <c r="BW86" i="14"/>
  <c r="BV86" i="14"/>
  <c r="BT86" i="14"/>
  <c r="BS86" i="14"/>
  <c r="BR86" i="14"/>
  <c r="BQ86" i="14"/>
  <c r="BO86" i="14"/>
  <c r="BN86" i="14"/>
  <c r="BM86" i="14"/>
  <c r="BL86" i="14"/>
  <c r="BK86" i="14"/>
  <c r="BJ86" i="14"/>
  <c r="BI86" i="14"/>
  <c r="BG86" i="14"/>
  <c r="BF86" i="14"/>
  <c r="BE86" i="14"/>
  <c r="AN86" i="14"/>
  <c r="AU86" i="14" s="1"/>
  <c r="BP86" i="14" s="1"/>
  <c r="CF85" i="14"/>
  <c r="CD85" i="14"/>
  <c r="CC85" i="14"/>
  <c r="CA85" i="14"/>
  <c r="BZ85" i="14"/>
  <c r="BY85" i="14"/>
  <c r="CJ85" i="14" s="1"/>
  <c r="BX85" i="14"/>
  <c r="BW85" i="14"/>
  <c r="BV85" i="14"/>
  <c r="BT85" i="14"/>
  <c r="BS85" i="14"/>
  <c r="BR85" i="14"/>
  <c r="BQ85" i="14"/>
  <c r="BN85" i="14"/>
  <c r="BM85" i="14"/>
  <c r="BL85" i="14"/>
  <c r="BK85" i="14"/>
  <c r="BJ85" i="14"/>
  <c r="BI85" i="14"/>
  <c r="BF85" i="14"/>
  <c r="BE85" i="14"/>
  <c r="AU85" i="14"/>
  <c r="BO85" i="14" s="1"/>
  <c r="AN85" i="14"/>
  <c r="BG85" i="14" s="1"/>
  <c r="CD84" i="14"/>
  <c r="CC84" i="14"/>
  <c r="CA84" i="14"/>
  <c r="BZ84" i="14"/>
  <c r="BY84" i="14"/>
  <c r="BX84" i="14"/>
  <c r="BW84" i="14"/>
  <c r="BV84" i="14"/>
  <c r="BT84" i="14"/>
  <c r="BS84" i="14"/>
  <c r="BR84" i="14"/>
  <c r="BQ84" i="14"/>
  <c r="BN84" i="14"/>
  <c r="BM84" i="14"/>
  <c r="BL84" i="14"/>
  <c r="BK84" i="14"/>
  <c r="BJ84" i="14"/>
  <c r="BI84" i="14"/>
  <c r="BF84" i="14"/>
  <c r="BE84" i="14"/>
  <c r="AN84" i="14"/>
  <c r="AU84" i="14" s="1"/>
  <c r="BP84" i="14" s="1"/>
  <c r="CF83" i="14"/>
  <c r="CD83" i="14"/>
  <c r="CC83" i="14"/>
  <c r="CA83" i="14"/>
  <c r="BZ83" i="14"/>
  <c r="BY83" i="14"/>
  <c r="BX83" i="14"/>
  <c r="BW83" i="14"/>
  <c r="BV83" i="14"/>
  <c r="BT83" i="14"/>
  <c r="BS83" i="14"/>
  <c r="BR83" i="14"/>
  <c r="BQ83" i="14"/>
  <c r="BN83" i="14"/>
  <c r="BM83" i="14"/>
  <c r="BL83" i="14"/>
  <c r="BK83" i="14"/>
  <c r="BJ83" i="14"/>
  <c r="BI83" i="14"/>
  <c r="BF83" i="14"/>
  <c r="BE83" i="14"/>
  <c r="AN83" i="14"/>
  <c r="BG83" i="14" s="1"/>
  <c r="CD82" i="14"/>
  <c r="CC82" i="14"/>
  <c r="CA82" i="14"/>
  <c r="BZ82" i="14"/>
  <c r="BY82" i="14"/>
  <c r="BX82" i="14"/>
  <c r="BW82" i="14"/>
  <c r="BV82" i="14"/>
  <c r="BT82" i="14"/>
  <c r="BS82" i="14"/>
  <c r="BR82" i="14"/>
  <c r="BQ82" i="14"/>
  <c r="BN82" i="14"/>
  <c r="BM82" i="14"/>
  <c r="BL82" i="14"/>
  <c r="BK82" i="14"/>
  <c r="BJ82" i="14"/>
  <c r="BI82" i="14"/>
  <c r="BG82" i="14"/>
  <c r="BF82" i="14"/>
  <c r="BE82" i="14"/>
  <c r="AN82" i="14"/>
  <c r="AU82" i="14" s="1"/>
  <c r="BP82" i="14" s="1"/>
  <c r="CN81" i="14"/>
  <c r="CJ81" i="14"/>
  <c r="CD81" i="14"/>
  <c r="CC81" i="14"/>
  <c r="CA81" i="14"/>
  <c r="BZ81" i="14"/>
  <c r="BY81" i="14"/>
  <c r="BX81" i="14"/>
  <c r="BW81" i="14"/>
  <c r="BU81" i="14" s="1"/>
  <c r="CB81" i="14" s="1"/>
  <c r="BV81" i="14"/>
  <c r="BT81" i="14"/>
  <c r="BS81" i="14"/>
  <c r="CF81" i="14" s="1"/>
  <c r="BR81" i="14"/>
  <c r="BQ81" i="14"/>
  <c r="BN81" i="14"/>
  <c r="BM81" i="14"/>
  <c r="BL81" i="14"/>
  <c r="BK81" i="14"/>
  <c r="BJ81" i="14"/>
  <c r="BI81" i="14"/>
  <c r="BF81" i="14"/>
  <c r="BE81" i="14"/>
  <c r="AN81" i="14"/>
  <c r="BH81" i="14" s="1"/>
  <c r="CD80" i="14"/>
  <c r="CC80" i="14"/>
  <c r="CA80" i="14"/>
  <c r="BZ80" i="14"/>
  <c r="BY80" i="14"/>
  <c r="BX80" i="14"/>
  <c r="BW80" i="14"/>
  <c r="BV80" i="14"/>
  <c r="BT80" i="14"/>
  <c r="BS80" i="14"/>
  <c r="CK80" i="14" s="1"/>
  <c r="BR80" i="14"/>
  <c r="BQ80" i="14"/>
  <c r="BO80" i="14"/>
  <c r="BN80" i="14"/>
  <c r="BM80" i="14"/>
  <c r="BL80" i="14"/>
  <c r="BK80" i="14"/>
  <c r="BJ80" i="14"/>
  <c r="BI80" i="14"/>
  <c r="BG80" i="14"/>
  <c r="BF80" i="14"/>
  <c r="BE80" i="14"/>
  <c r="AN80" i="14"/>
  <c r="AU80" i="14" s="1"/>
  <c r="BP80" i="14" s="1"/>
  <c r="CK79" i="14"/>
  <c r="CD79" i="14"/>
  <c r="CC79" i="14"/>
  <c r="CA79" i="14"/>
  <c r="BZ79" i="14"/>
  <c r="BY79" i="14"/>
  <c r="BX79" i="14"/>
  <c r="BW79" i="14"/>
  <c r="BV79" i="14"/>
  <c r="BT79" i="14"/>
  <c r="BS79" i="14"/>
  <c r="BR79" i="14"/>
  <c r="BQ79" i="14"/>
  <c r="BN79" i="14"/>
  <c r="BM79" i="14"/>
  <c r="BL79" i="14"/>
  <c r="BK79" i="14"/>
  <c r="BJ79" i="14"/>
  <c r="BI79" i="14"/>
  <c r="BF79" i="14"/>
  <c r="BE79" i="14"/>
  <c r="AN79" i="14"/>
  <c r="BH79" i="14" s="1"/>
  <c r="CD78" i="14"/>
  <c r="CC78" i="14"/>
  <c r="CA78" i="14"/>
  <c r="BZ78" i="14"/>
  <c r="BY78" i="14"/>
  <c r="CK78" i="14" s="1"/>
  <c r="BX78" i="14"/>
  <c r="BW78" i="14"/>
  <c r="BV78" i="14"/>
  <c r="BT78" i="14"/>
  <c r="BS78" i="14"/>
  <c r="BR78" i="14"/>
  <c r="BQ78" i="14"/>
  <c r="BN78" i="14"/>
  <c r="BM78" i="14"/>
  <c r="BL78" i="14"/>
  <c r="BK78" i="14"/>
  <c r="BJ78" i="14"/>
  <c r="BI78" i="14"/>
  <c r="BF78" i="14"/>
  <c r="BE78" i="14"/>
  <c r="AN78" i="14"/>
  <c r="BH78" i="14" s="1"/>
  <c r="CD77" i="14"/>
  <c r="CF77" i="14" s="1"/>
  <c r="CC77" i="14"/>
  <c r="CA77" i="14"/>
  <c r="BZ77" i="14"/>
  <c r="BY77" i="14"/>
  <c r="CJ77" i="14" s="1"/>
  <c r="BX77" i="14"/>
  <c r="BW77" i="14"/>
  <c r="BV77" i="14"/>
  <c r="BT77" i="14"/>
  <c r="BS77" i="14"/>
  <c r="BR77" i="14"/>
  <c r="BQ77" i="14"/>
  <c r="BN77" i="14"/>
  <c r="BM77" i="14"/>
  <c r="BL77" i="14"/>
  <c r="BK77" i="14"/>
  <c r="BJ77" i="14"/>
  <c r="BI77" i="14"/>
  <c r="BF77" i="14"/>
  <c r="BE77" i="14"/>
  <c r="AN77" i="14"/>
  <c r="AU77" i="14" s="1"/>
  <c r="CD76" i="14"/>
  <c r="CC76" i="14"/>
  <c r="CA76" i="14"/>
  <c r="BZ76" i="14"/>
  <c r="BY76" i="14"/>
  <c r="BX76" i="14"/>
  <c r="BW76" i="14"/>
  <c r="BV76" i="14"/>
  <c r="BT76" i="14"/>
  <c r="BS76" i="14"/>
  <c r="CK76" i="14" s="1"/>
  <c r="BR76" i="14"/>
  <c r="BQ76" i="14"/>
  <c r="BP76" i="14"/>
  <c r="BO76" i="14"/>
  <c r="BN76" i="14"/>
  <c r="BM76" i="14"/>
  <c r="BL76" i="14"/>
  <c r="BK76" i="14"/>
  <c r="BJ76" i="14"/>
  <c r="BI76" i="14"/>
  <c r="BH76" i="14"/>
  <c r="BG76" i="14"/>
  <c r="BF76" i="14"/>
  <c r="BE76" i="14"/>
  <c r="AN76" i="14"/>
  <c r="AU76" i="14" s="1"/>
  <c r="CD75" i="14"/>
  <c r="CC75" i="14"/>
  <c r="CA75" i="14"/>
  <c r="BZ75" i="14"/>
  <c r="BY75" i="14"/>
  <c r="BX75" i="14"/>
  <c r="BW75" i="14"/>
  <c r="BU75" i="14" s="1"/>
  <c r="CB75" i="14" s="1"/>
  <c r="BV75" i="14"/>
  <c r="BT75" i="14"/>
  <c r="BS75" i="14"/>
  <c r="BR75" i="14"/>
  <c r="BQ75" i="14"/>
  <c r="BN75" i="14"/>
  <c r="BM75" i="14"/>
  <c r="BL75" i="14"/>
  <c r="BK75" i="14"/>
  <c r="BJ75" i="14"/>
  <c r="BI75" i="14"/>
  <c r="BF75" i="14"/>
  <c r="BE75" i="14"/>
  <c r="AN75" i="14"/>
  <c r="CD74" i="14"/>
  <c r="CC74" i="14"/>
  <c r="CA74" i="14"/>
  <c r="BZ74" i="14"/>
  <c r="BY74" i="14"/>
  <c r="BX74" i="14"/>
  <c r="BW74" i="14"/>
  <c r="BV74" i="14"/>
  <c r="BT74" i="14"/>
  <c r="BS74" i="14"/>
  <c r="BR74" i="14"/>
  <c r="BQ74" i="14"/>
  <c r="BN74" i="14"/>
  <c r="BM74" i="14"/>
  <c r="BL74" i="14"/>
  <c r="BK74" i="14"/>
  <c r="BJ74" i="14"/>
  <c r="BI74" i="14"/>
  <c r="BH74" i="14"/>
  <c r="BF74" i="14"/>
  <c r="BE74" i="14"/>
  <c r="AN74" i="14"/>
  <c r="CD73" i="14"/>
  <c r="CC73" i="14"/>
  <c r="CA73" i="14"/>
  <c r="BZ73" i="14"/>
  <c r="BY73" i="14"/>
  <c r="CJ73" i="14" s="1"/>
  <c r="BX73" i="14"/>
  <c r="BW73" i="14"/>
  <c r="BV73" i="14"/>
  <c r="BT73" i="14"/>
  <c r="BS73" i="14"/>
  <c r="CF73" i="14" s="1"/>
  <c r="BR73" i="14"/>
  <c r="BQ73" i="14"/>
  <c r="BN73" i="14"/>
  <c r="BM73" i="14"/>
  <c r="BL73" i="14"/>
  <c r="BK73" i="14"/>
  <c r="BJ73" i="14"/>
  <c r="BI73" i="14"/>
  <c r="BF73" i="14"/>
  <c r="BE73" i="14"/>
  <c r="AN73" i="14"/>
  <c r="BG73" i="14" s="1"/>
  <c r="CD72" i="14"/>
  <c r="CC72" i="14"/>
  <c r="CA72" i="14"/>
  <c r="BZ72" i="14"/>
  <c r="BY72" i="14"/>
  <c r="BX72" i="14"/>
  <c r="BW72" i="14"/>
  <c r="BV72" i="14"/>
  <c r="BT72" i="14"/>
  <c r="BS72" i="14"/>
  <c r="BR72" i="14"/>
  <c r="BQ72" i="14"/>
  <c r="BN72" i="14"/>
  <c r="BM72" i="14"/>
  <c r="BL72" i="14"/>
  <c r="BK72" i="14"/>
  <c r="BJ72" i="14"/>
  <c r="BI72" i="14"/>
  <c r="BF72" i="14"/>
  <c r="BE72" i="14"/>
  <c r="AN72" i="14"/>
  <c r="BH72" i="14" s="1"/>
  <c r="CD71" i="14"/>
  <c r="CF71" i="14" s="1"/>
  <c r="CC71" i="14"/>
  <c r="CA71" i="14"/>
  <c r="BZ71" i="14"/>
  <c r="BY71" i="14"/>
  <c r="BX71" i="14"/>
  <c r="BW71" i="14"/>
  <c r="BV71" i="14"/>
  <c r="BT71" i="14"/>
  <c r="BS71" i="14"/>
  <c r="CN71" i="14" s="1"/>
  <c r="BR71" i="14"/>
  <c r="BQ71" i="14"/>
  <c r="BN71" i="14"/>
  <c r="BM71" i="14"/>
  <c r="BL71" i="14"/>
  <c r="BK71" i="14"/>
  <c r="BJ71" i="14"/>
  <c r="BI71" i="14"/>
  <c r="BF71" i="14"/>
  <c r="BE71" i="14"/>
  <c r="AN71" i="14"/>
  <c r="BG71" i="14" s="1"/>
  <c r="CK70" i="14"/>
  <c r="CD70" i="14"/>
  <c r="CC70" i="14"/>
  <c r="CA70" i="14"/>
  <c r="BZ70" i="14"/>
  <c r="BY70" i="14"/>
  <c r="BX70" i="14"/>
  <c r="BW70" i="14"/>
  <c r="BV70" i="14"/>
  <c r="BT70" i="14"/>
  <c r="BS70" i="14"/>
  <c r="BR70" i="14"/>
  <c r="BQ70" i="14"/>
  <c r="BN70" i="14"/>
  <c r="BM70" i="14"/>
  <c r="BL70" i="14"/>
  <c r="BK70" i="14"/>
  <c r="BJ70" i="14"/>
  <c r="BI70" i="14"/>
  <c r="BF70" i="14"/>
  <c r="BE70" i="14"/>
  <c r="AN70" i="14"/>
  <c r="AU70" i="14" s="1"/>
  <c r="BP70" i="14" s="1"/>
  <c r="CJ69" i="14"/>
  <c r="CD69" i="14"/>
  <c r="CG69" i="14" s="1"/>
  <c r="CC69" i="14"/>
  <c r="CA69" i="14"/>
  <c r="BZ69" i="14"/>
  <c r="BY69" i="14"/>
  <c r="BX69" i="14"/>
  <c r="BW69" i="14"/>
  <c r="BV69" i="14"/>
  <c r="BT69" i="14"/>
  <c r="BS69" i="14"/>
  <c r="CO69" i="14" s="1"/>
  <c r="BR69" i="14"/>
  <c r="BQ69" i="14"/>
  <c r="BP69" i="14"/>
  <c r="BO69" i="14"/>
  <c r="BN69" i="14"/>
  <c r="BM69" i="14"/>
  <c r="BL69" i="14"/>
  <c r="BK69" i="14"/>
  <c r="BJ69" i="14"/>
  <c r="BI69" i="14"/>
  <c r="BH69" i="14"/>
  <c r="BG69" i="14"/>
  <c r="BF69" i="14"/>
  <c r="BE69" i="14"/>
  <c r="AU69" i="14"/>
  <c r="AN69" i="14"/>
  <c r="CD68" i="14"/>
  <c r="CC68" i="14"/>
  <c r="CA68" i="14"/>
  <c r="BZ68" i="14"/>
  <c r="BY68" i="14"/>
  <c r="BX68" i="14"/>
  <c r="BW68" i="14"/>
  <c r="BV68" i="14"/>
  <c r="BT68" i="14"/>
  <c r="BS68" i="14"/>
  <c r="BR68" i="14"/>
  <c r="BQ68" i="14"/>
  <c r="BN68" i="14"/>
  <c r="BM68" i="14"/>
  <c r="BL68" i="14"/>
  <c r="BK68" i="14"/>
  <c r="BJ68" i="14"/>
  <c r="BI68" i="14"/>
  <c r="BF68" i="14"/>
  <c r="BE68" i="14"/>
  <c r="AN68" i="14"/>
  <c r="AU68" i="14" s="1"/>
  <c r="BP68" i="14" s="1"/>
  <c r="CD67" i="14"/>
  <c r="CC67" i="14"/>
  <c r="CA67" i="14"/>
  <c r="BZ67" i="14"/>
  <c r="BY67" i="14"/>
  <c r="BX67" i="14"/>
  <c r="BU67" i="14" s="1"/>
  <c r="CB67" i="14" s="1"/>
  <c r="BW67" i="14"/>
  <c r="BV67" i="14"/>
  <c r="BT67" i="14"/>
  <c r="BS67" i="14"/>
  <c r="CL67" i="14" s="1"/>
  <c r="BR67" i="14"/>
  <c r="BQ67" i="14"/>
  <c r="BN67" i="14"/>
  <c r="BM67" i="14"/>
  <c r="BL67" i="14"/>
  <c r="BK67" i="14"/>
  <c r="BJ67" i="14"/>
  <c r="BI67" i="14"/>
  <c r="BF67" i="14"/>
  <c r="BE67" i="14"/>
  <c r="AN67" i="14"/>
  <c r="BH67" i="14" s="1"/>
  <c r="CD66" i="14"/>
  <c r="CC66" i="14"/>
  <c r="CA66" i="14"/>
  <c r="BZ66" i="14"/>
  <c r="BY66" i="14"/>
  <c r="BX66" i="14"/>
  <c r="BW66" i="14"/>
  <c r="BV66" i="14"/>
  <c r="BT66" i="14"/>
  <c r="BS66" i="14"/>
  <c r="BR66" i="14"/>
  <c r="BQ66" i="14"/>
  <c r="BP66" i="14"/>
  <c r="BO66" i="14"/>
  <c r="BN66" i="14"/>
  <c r="BM66" i="14"/>
  <c r="BL66" i="14"/>
  <c r="BK66" i="14"/>
  <c r="BJ66" i="14"/>
  <c r="BI66" i="14"/>
  <c r="BH66" i="14"/>
  <c r="BG66" i="14"/>
  <c r="BF66" i="14"/>
  <c r="BE66" i="14"/>
  <c r="AN66" i="14"/>
  <c r="AU66" i="14" s="1"/>
  <c r="CG65" i="14"/>
  <c r="CD65" i="14"/>
  <c r="CC65" i="14"/>
  <c r="CA65" i="14"/>
  <c r="CO65" i="14" s="1"/>
  <c r="BZ65" i="14"/>
  <c r="BY65" i="14"/>
  <c r="BX65" i="14"/>
  <c r="BW65" i="14"/>
  <c r="BV65" i="14"/>
  <c r="BT65" i="14"/>
  <c r="CJ65" i="14" s="1"/>
  <c r="BS65" i="14"/>
  <c r="BR65" i="14"/>
  <c r="BQ65" i="14"/>
  <c r="BN65" i="14"/>
  <c r="BM65" i="14"/>
  <c r="BL65" i="14"/>
  <c r="BK65" i="14"/>
  <c r="BJ65" i="14"/>
  <c r="BI65" i="14"/>
  <c r="BF65" i="14"/>
  <c r="BE65" i="14"/>
  <c r="AN65" i="14"/>
  <c r="BH65" i="14" s="1"/>
  <c r="CD64" i="14"/>
  <c r="CC64" i="14"/>
  <c r="CA64" i="14"/>
  <c r="BZ64" i="14"/>
  <c r="BY64" i="14"/>
  <c r="BX64" i="14"/>
  <c r="BW64" i="14"/>
  <c r="BV64" i="14"/>
  <c r="BT64" i="14"/>
  <c r="BS64" i="14"/>
  <c r="CN64" i="14" s="1"/>
  <c r="BR64" i="14"/>
  <c r="BQ64" i="14"/>
  <c r="BN64" i="14"/>
  <c r="BM64" i="14"/>
  <c r="BL64" i="14"/>
  <c r="BK64" i="14"/>
  <c r="BJ64" i="14"/>
  <c r="BI64" i="14"/>
  <c r="BF64" i="14"/>
  <c r="BE64" i="14"/>
  <c r="AN64" i="14"/>
  <c r="AU64" i="14" s="1"/>
  <c r="BP64" i="14" s="1"/>
  <c r="CO63" i="14"/>
  <c r="CJ63" i="14"/>
  <c r="CD63" i="14"/>
  <c r="CG63" i="14" s="1"/>
  <c r="CC63" i="14"/>
  <c r="CA63" i="14"/>
  <c r="BZ63" i="14"/>
  <c r="BY63" i="14"/>
  <c r="BX63" i="14"/>
  <c r="BW63" i="14"/>
  <c r="BV63" i="14"/>
  <c r="BT63" i="14"/>
  <c r="BS63" i="14"/>
  <c r="BR63" i="14"/>
  <c r="BQ63" i="14"/>
  <c r="BP63" i="14"/>
  <c r="BO63" i="14"/>
  <c r="BN63" i="14"/>
  <c r="BM63" i="14"/>
  <c r="BL63" i="14"/>
  <c r="BK63" i="14"/>
  <c r="BJ63" i="14"/>
  <c r="BI63" i="14"/>
  <c r="BH63" i="14"/>
  <c r="BG63" i="14"/>
  <c r="BF63" i="14"/>
  <c r="BE63" i="14"/>
  <c r="AN63" i="14"/>
  <c r="AU63" i="14" s="1"/>
  <c r="CD62" i="14"/>
  <c r="CC62" i="14"/>
  <c r="CA62" i="14"/>
  <c r="BZ62" i="14"/>
  <c r="BY62" i="14"/>
  <c r="BX62" i="14"/>
  <c r="BW62" i="14"/>
  <c r="BV62" i="14"/>
  <c r="BT62" i="14"/>
  <c r="BS62" i="14"/>
  <c r="CO62" i="14" s="1"/>
  <c r="BR62" i="14"/>
  <c r="BQ62" i="14"/>
  <c r="BO62" i="14"/>
  <c r="BN62" i="14"/>
  <c r="BM62" i="14"/>
  <c r="BL62" i="14"/>
  <c r="BK62" i="14"/>
  <c r="BJ62" i="14"/>
  <c r="BI62" i="14"/>
  <c r="BG62" i="14"/>
  <c r="BF62" i="14"/>
  <c r="BE62" i="14"/>
  <c r="AN62" i="14"/>
  <c r="AU62" i="14" s="1"/>
  <c r="BP62" i="14" s="1"/>
  <c r="CK61" i="14"/>
  <c r="CD61" i="14"/>
  <c r="CC61" i="14"/>
  <c r="CA61" i="14"/>
  <c r="BZ61" i="14"/>
  <c r="BY61" i="14"/>
  <c r="BX61" i="14"/>
  <c r="BW61" i="14"/>
  <c r="BV61" i="14"/>
  <c r="BT61" i="14"/>
  <c r="BS61" i="14"/>
  <c r="BR61" i="14"/>
  <c r="BQ61" i="14"/>
  <c r="BN61" i="14"/>
  <c r="BM61" i="14"/>
  <c r="BL61" i="14"/>
  <c r="BK61" i="14"/>
  <c r="BJ61" i="14"/>
  <c r="BI61" i="14"/>
  <c r="BF61" i="14"/>
  <c r="BE61" i="14"/>
  <c r="AN61" i="14"/>
  <c r="BH61" i="14" s="1"/>
  <c r="CO60" i="14"/>
  <c r="CD60" i="14"/>
  <c r="CG60" i="14" s="1"/>
  <c r="CC60" i="14"/>
  <c r="CA60" i="14"/>
  <c r="BZ60" i="14"/>
  <c r="CM60" i="14" s="1"/>
  <c r="BY60" i="14"/>
  <c r="CK60" i="14" s="1"/>
  <c r="BX60" i="14"/>
  <c r="BW60" i="14"/>
  <c r="BV60" i="14"/>
  <c r="BT60" i="14"/>
  <c r="BS60" i="14"/>
  <c r="BR60" i="14"/>
  <c r="BQ60" i="14"/>
  <c r="BN60" i="14"/>
  <c r="BM60" i="14"/>
  <c r="BL60" i="14"/>
  <c r="BK60" i="14"/>
  <c r="BJ60" i="14"/>
  <c r="BI60" i="14"/>
  <c r="BF60" i="14"/>
  <c r="BE60" i="14"/>
  <c r="AN60" i="14"/>
  <c r="BG60" i="14" s="1"/>
  <c r="CD59" i="14"/>
  <c r="CC59" i="14"/>
  <c r="CA59" i="14"/>
  <c r="BZ59" i="14"/>
  <c r="BY59" i="14"/>
  <c r="BX59" i="14"/>
  <c r="BW59" i="14"/>
  <c r="BV59" i="14"/>
  <c r="BT59" i="14"/>
  <c r="BS59" i="14"/>
  <c r="CL59" i="14" s="1"/>
  <c r="BR59" i="14"/>
  <c r="BQ59" i="14"/>
  <c r="BN59" i="14"/>
  <c r="BM59" i="14"/>
  <c r="BL59" i="14"/>
  <c r="BK59" i="14"/>
  <c r="BJ59" i="14"/>
  <c r="BI59" i="14"/>
  <c r="BG59" i="14"/>
  <c r="BF59" i="14"/>
  <c r="BE59" i="14"/>
  <c r="AN59" i="14"/>
  <c r="CM58" i="14"/>
  <c r="CD58" i="14"/>
  <c r="CC58" i="14"/>
  <c r="CA58" i="14"/>
  <c r="BZ58" i="14"/>
  <c r="BY58" i="14"/>
  <c r="BX58" i="14"/>
  <c r="BW58" i="14"/>
  <c r="BV58" i="14"/>
  <c r="BT58" i="14"/>
  <c r="BS58" i="14"/>
  <c r="BR58" i="14"/>
  <c r="BQ58" i="14"/>
  <c r="BN58" i="14"/>
  <c r="BM58" i="14"/>
  <c r="BL58" i="14"/>
  <c r="BK58" i="14"/>
  <c r="BJ58" i="14"/>
  <c r="BI58" i="14"/>
  <c r="BG58" i="14"/>
  <c r="BF58" i="14"/>
  <c r="BE58" i="14"/>
  <c r="AN58" i="14"/>
  <c r="CK57" i="14"/>
  <c r="CD57" i="14"/>
  <c r="CG57" i="14" s="1"/>
  <c r="CC57" i="14"/>
  <c r="CA57" i="14"/>
  <c r="BZ57" i="14"/>
  <c r="CM57" i="14" s="1"/>
  <c r="BY57" i="14"/>
  <c r="BX57" i="14"/>
  <c r="BW57" i="14"/>
  <c r="BV57" i="14"/>
  <c r="BT57" i="14"/>
  <c r="BS57" i="14"/>
  <c r="BR57" i="14"/>
  <c r="BQ57" i="14"/>
  <c r="BN57" i="14"/>
  <c r="BM57" i="14"/>
  <c r="BL57" i="14"/>
  <c r="BK57" i="14"/>
  <c r="BJ57" i="14"/>
  <c r="BI57" i="14"/>
  <c r="BG57" i="14"/>
  <c r="BF57" i="14"/>
  <c r="BE57" i="14"/>
  <c r="AN57" i="14"/>
  <c r="CG56" i="14"/>
  <c r="CD56" i="14"/>
  <c r="CC56" i="14"/>
  <c r="CA56" i="14"/>
  <c r="BZ56" i="14"/>
  <c r="BY56" i="14"/>
  <c r="CK56" i="14" s="1"/>
  <c r="BX56" i="14"/>
  <c r="BW56" i="14"/>
  <c r="BV56" i="14"/>
  <c r="BT56" i="14"/>
  <c r="CL56" i="14" s="1"/>
  <c r="BS56" i="14"/>
  <c r="CM56" i="14" s="1"/>
  <c r="BR56" i="14"/>
  <c r="BQ56" i="14"/>
  <c r="BN56" i="14"/>
  <c r="BM56" i="14"/>
  <c r="BL56" i="14"/>
  <c r="BK56" i="14"/>
  <c r="BJ56" i="14"/>
  <c r="BI56" i="14"/>
  <c r="BF56" i="14"/>
  <c r="BE56" i="14"/>
  <c r="AU56" i="14"/>
  <c r="BP56" i="14" s="1"/>
  <c r="AN56" i="14"/>
  <c r="BG56" i="14" s="1"/>
  <c r="CD55" i="14"/>
  <c r="CC55" i="14"/>
  <c r="CA55" i="14"/>
  <c r="BZ55" i="14"/>
  <c r="BY55" i="14"/>
  <c r="BX55" i="14"/>
  <c r="BW55" i="14"/>
  <c r="BV55" i="14"/>
  <c r="BT55" i="14"/>
  <c r="BS55" i="14"/>
  <c r="BR55" i="14"/>
  <c r="BQ55" i="14"/>
  <c r="BN55" i="14"/>
  <c r="BM55" i="14"/>
  <c r="BL55" i="14"/>
  <c r="BK55" i="14"/>
  <c r="BJ55" i="14"/>
  <c r="BI55" i="14"/>
  <c r="BF55" i="14"/>
  <c r="BE55" i="14"/>
  <c r="AN55" i="14"/>
  <c r="BH55" i="14" s="1"/>
  <c r="CM54" i="14"/>
  <c r="CD54" i="14"/>
  <c r="CC54" i="14"/>
  <c r="CA54" i="14"/>
  <c r="BZ54" i="14"/>
  <c r="BY54" i="14"/>
  <c r="BX54" i="14"/>
  <c r="BW54" i="14"/>
  <c r="BV54" i="14"/>
  <c r="BT54" i="14"/>
  <c r="BS54" i="14"/>
  <c r="BR54" i="14"/>
  <c r="BQ54" i="14"/>
  <c r="BN54" i="14"/>
  <c r="BM54" i="14"/>
  <c r="BL54" i="14"/>
  <c r="BK54" i="14"/>
  <c r="BJ54" i="14"/>
  <c r="BI54" i="14"/>
  <c r="BF54" i="14"/>
  <c r="BE54" i="14"/>
  <c r="AN54" i="14"/>
  <c r="BH54" i="14" s="1"/>
  <c r="CM53" i="14"/>
  <c r="CK53" i="14"/>
  <c r="CG53" i="14"/>
  <c r="CD53" i="14"/>
  <c r="CC53" i="14"/>
  <c r="CA53" i="14"/>
  <c r="BZ53" i="14"/>
  <c r="CL53" i="14" s="1"/>
  <c r="BY53" i="14"/>
  <c r="BX53" i="14"/>
  <c r="BW53" i="14"/>
  <c r="BV53" i="14"/>
  <c r="BU53" i="14" s="1"/>
  <c r="CB53" i="14" s="1"/>
  <c r="CQ53" i="14" s="1"/>
  <c r="BT53" i="14"/>
  <c r="BS53" i="14"/>
  <c r="BR53" i="14"/>
  <c r="BQ53" i="14"/>
  <c r="BN53" i="14"/>
  <c r="BM53" i="14"/>
  <c r="BL53" i="14"/>
  <c r="BK53" i="14"/>
  <c r="BJ53" i="14"/>
  <c r="BI53" i="14"/>
  <c r="BF53" i="14"/>
  <c r="BE53" i="14"/>
  <c r="AN53" i="14"/>
  <c r="BH53" i="14" s="1"/>
  <c r="CQ52" i="14"/>
  <c r="CP52" i="14"/>
  <c r="CL52" i="14"/>
  <c r="CK52" i="14"/>
  <c r="CD52" i="14"/>
  <c r="CG52" i="14" s="1"/>
  <c r="CC52" i="14"/>
  <c r="CA52" i="14"/>
  <c r="BZ52" i="14"/>
  <c r="BY52" i="14"/>
  <c r="BX52" i="14"/>
  <c r="BW52" i="14"/>
  <c r="BV52" i="14"/>
  <c r="BT52" i="14"/>
  <c r="BS52" i="14"/>
  <c r="CN52" i="14" s="1"/>
  <c r="BR52" i="14"/>
  <c r="BQ52" i="14"/>
  <c r="BP52" i="14"/>
  <c r="BO52" i="14"/>
  <c r="BN52" i="14"/>
  <c r="BM52" i="14"/>
  <c r="BL52" i="14"/>
  <c r="BK52" i="14"/>
  <c r="BJ52" i="14"/>
  <c r="BI52" i="14"/>
  <c r="BH52" i="14"/>
  <c r="BG52" i="14"/>
  <c r="BF52" i="14"/>
  <c r="BE52" i="14"/>
  <c r="AN52" i="14"/>
  <c r="AU52" i="14" s="1"/>
  <c r="CD51" i="14"/>
  <c r="CC51" i="14"/>
  <c r="CA51" i="14"/>
  <c r="BZ51" i="14"/>
  <c r="BY51" i="14"/>
  <c r="BX51" i="14"/>
  <c r="BW51" i="14"/>
  <c r="BV51" i="14"/>
  <c r="BT51" i="14"/>
  <c r="BS51" i="14"/>
  <c r="CN51" i="14" s="1"/>
  <c r="BR51" i="14"/>
  <c r="BQ51" i="14"/>
  <c r="BN51" i="14"/>
  <c r="BM51" i="14"/>
  <c r="BL51" i="14"/>
  <c r="BK51" i="14"/>
  <c r="BJ51" i="14"/>
  <c r="BI51" i="14"/>
  <c r="BG51" i="14"/>
  <c r="BF51" i="14"/>
  <c r="BE51" i="14"/>
  <c r="AN51" i="14"/>
  <c r="CM50" i="14"/>
  <c r="CD50" i="14"/>
  <c r="CC50" i="14"/>
  <c r="CA50" i="14"/>
  <c r="BZ50" i="14"/>
  <c r="BY50" i="14"/>
  <c r="BX50" i="14"/>
  <c r="BW50" i="14"/>
  <c r="BV50" i="14"/>
  <c r="BT50" i="14"/>
  <c r="BS50" i="14"/>
  <c r="CN50" i="14" s="1"/>
  <c r="BR50" i="14"/>
  <c r="BQ50" i="14"/>
  <c r="BN50" i="14"/>
  <c r="BM50" i="14"/>
  <c r="BL50" i="14"/>
  <c r="BK50" i="14"/>
  <c r="BJ50" i="14"/>
  <c r="BI50" i="14"/>
  <c r="BF50" i="14"/>
  <c r="BE50" i="14"/>
  <c r="AN50" i="14"/>
  <c r="BG50" i="14" s="1"/>
  <c r="CQ49" i="14"/>
  <c r="CP49" i="14"/>
  <c r="CM49" i="14"/>
  <c r="CL49" i="14"/>
  <c r="CK49" i="14"/>
  <c r="CH49" i="14"/>
  <c r="CD49" i="14"/>
  <c r="CG49" i="14" s="1"/>
  <c r="CC49" i="14"/>
  <c r="CA49" i="14"/>
  <c r="BZ49" i="14"/>
  <c r="BY49" i="14"/>
  <c r="BX49" i="14"/>
  <c r="BW49" i="14"/>
  <c r="BV49" i="14"/>
  <c r="BT49" i="14"/>
  <c r="BS49" i="14"/>
  <c r="CN49" i="14" s="1"/>
  <c r="BR49" i="14"/>
  <c r="BQ49" i="14"/>
  <c r="BP49" i="14"/>
  <c r="BO49" i="14"/>
  <c r="BN49" i="14"/>
  <c r="BM49" i="14"/>
  <c r="BL49" i="14"/>
  <c r="BK49" i="14"/>
  <c r="BJ49" i="14"/>
  <c r="BI49" i="14"/>
  <c r="BH49" i="14"/>
  <c r="BG49" i="14"/>
  <c r="BF49" i="14"/>
  <c r="BE49" i="14"/>
  <c r="AN49" i="14"/>
  <c r="AU49" i="14" s="1"/>
  <c r="CG48" i="14"/>
  <c r="CD48" i="14"/>
  <c r="CC48" i="14"/>
  <c r="CA48" i="14"/>
  <c r="BZ48" i="14"/>
  <c r="BY48" i="14"/>
  <c r="CK48" i="14" s="1"/>
  <c r="BX48" i="14"/>
  <c r="BW48" i="14"/>
  <c r="BV48" i="14"/>
  <c r="BT48" i="14"/>
  <c r="BS48" i="14"/>
  <c r="BR48" i="14"/>
  <c r="BQ48" i="14"/>
  <c r="BN48" i="14"/>
  <c r="BM48" i="14"/>
  <c r="BL48" i="14"/>
  <c r="BK48" i="14"/>
  <c r="BJ48" i="14"/>
  <c r="BI48" i="14"/>
  <c r="BH48" i="14"/>
  <c r="BF48" i="14"/>
  <c r="BE48" i="14"/>
  <c r="AN48" i="14"/>
  <c r="BG48" i="14" s="1"/>
  <c r="CD47" i="14"/>
  <c r="CC47" i="14"/>
  <c r="CA47" i="14"/>
  <c r="BZ47" i="14"/>
  <c r="BY47" i="14"/>
  <c r="BX47" i="14"/>
  <c r="BW47" i="14"/>
  <c r="BV47" i="14"/>
  <c r="BT47" i="14"/>
  <c r="BS47" i="14"/>
  <c r="BR47" i="14"/>
  <c r="BQ47" i="14"/>
  <c r="BN47" i="14"/>
  <c r="BM47" i="14"/>
  <c r="BL47" i="14"/>
  <c r="BK47" i="14"/>
  <c r="BJ47" i="14"/>
  <c r="BI47" i="14"/>
  <c r="BG47" i="14"/>
  <c r="BF47" i="14"/>
  <c r="BE47" i="14"/>
  <c r="AN47" i="14"/>
  <c r="CM46" i="14"/>
  <c r="CD46" i="14"/>
  <c r="CC46" i="14"/>
  <c r="CA46" i="14"/>
  <c r="BZ46" i="14"/>
  <c r="BY46" i="14"/>
  <c r="BX46" i="14"/>
  <c r="BW46" i="14"/>
  <c r="BV46" i="14"/>
  <c r="BT46" i="14"/>
  <c r="BS46" i="14"/>
  <c r="BR46" i="14"/>
  <c r="BQ46" i="14"/>
  <c r="BN46" i="14"/>
  <c r="BM46" i="14"/>
  <c r="BL46" i="14"/>
  <c r="BK46" i="14"/>
  <c r="BJ46" i="14"/>
  <c r="BI46" i="14"/>
  <c r="BG46" i="14"/>
  <c r="BF46" i="14"/>
  <c r="BE46" i="14"/>
  <c r="AN46" i="14"/>
  <c r="CL45" i="14"/>
  <c r="CD45" i="14"/>
  <c r="CG45" i="14" s="1"/>
  <c r="CC45" i="14"/>
  <c r="CA45" i="14"/>
  <c r="CO45" i="14" s="1"/>
  <c r="BZ45" i="14"/>
  <c r="CM45" i="14" s="1"/>
  <c r="BY45" i="14"/>
  <c r="BX45" i="14"/>
  <c r="BW45" i="14"/>
  <c r="BV45" i="14"/>
  <c r="BT45" i="14"/>
  <c r="BS45" i="14"/>
  <c r="CN45" i="14" s="1"/>
  <c r="BR45" i="14"/>
  <c r="BQ45" i="14"/>
  <c r="BN45" i="14"/>
  <c r="BM45" i="14"/>
  <c r="BL45" i="14"/>
  <c r="BK45" i="14"/>
  <c r="BJ45" i="14"/>
  <c r="BI45" i="14"/>
  <c r="BG45" i="14"/>
  <c r="BF45" i="14"/>
  <c r="BE45" i="14"/>
  <c r="AN45" i="14"/>
  <c r="CG44" i="14"/>
  <c r="CD44" i="14"/>
  <c r="CC44" i="14"/>
  <c r="CA44" i="14"/>
  <c r="BZ44" i="14"/>
  <c r="CM44" i="14" s="1"/>
  <c r="BY44" i="14"/>
  <c r="CK44" i="14" s="1"/>
  <c r="BX44" i="14"/>
  <c r="BW44" i="14"/>
  <c r="BV44" i="14"/>
  <c r="BT44" i="14"/>
  <c r="BS44" i="14"/>
  <c r="BR44" i="14"/>
  <c r="BQ44" i="14"/>
  <c r="BN44" i="14"/>
  <c r="BM44" i="14"/>
  <c r="BL44" i="14"/>
  <c r="BK44" i="14"/>
  <c r="BJ44" i="14"/>
  <c r="BI44" i="14"/>
  <c r="BF44" i="14"/>
  <c r="BE44" i="14"/>
  <c r="AU44" i="14"/>
  <c r="BO44" i="14" s="1"/>
  <c r="AN44" i="14"/>
  <c r="BG44" i="14" s="1"/>
  <c r="CD43" i="14"/>
  <c r="CC43" i="14"/>
  <c r="CA43" i="14"/>
  <c r="BZ43" i="14"/>
  <c r="BY43" i="14"/>
  <c r="BX43" i="14"/>
  <c r="BW43" i="14"/>
  <c r="BV43" i="14"/>
  <c r="BT43" i="14"/>
  <c r="BS43" i="14"/>
  <c r="BR43" i="14"/>
  <c r="BQ43" i="14"/>
  <c r="BN43" i="14"/>
  <c r="BM43" i="14"/>
  <c r="BL43" i="14"/>
  <c r="BK43" i="14"/>
  <c r="BJ43" i="14"/>
  <c r="BI43" i="14"/>
  <c r="BG43" i="14"/>
  <c r="BF43" i="14"/>
  <c r="BE43" i="14"/>
  <c r="AN43" i="14"/>
  <c r="CM42" i="14"/>
  <c r="CD42" i="14"/>
  <c r="CC42" i="14"/>
  <c r="CA42" i="14"/>
  <c r="BZ42" i="14"/>
  <c r="BY42" i="14"/>
  <c r="BX42" i="14"/>
  <c r="BW42" i="14"/>
  <c r="BV42" i="14"/>
  <c r="BT42" i="14"/>
  <c r="BS42" i="14"/>
  <c r="BR42" i="14"/>
  <c r="BQ42" i="14"/>
  <c r="BN42" i="14"/>
  <c r="BM42" i="14"/>
  <c r="BL42" i="14"/>
  <c r="BK42" i="14"/>
  <c r="BJ42" i="14"/>
  <c r="BI42" i="14"/>
  <c r="BG42" i="14"/>
  <c r="BF42" i="14"/>
  <c r="BE42" i="14"/>
  <c r="AN42" i="14"/>
  <c r="CQ41" i="14"/>
  <c r="CM41" i="14"/>
  <c r="CL41" i="14"/>
  <c r="CH41" i="14"/>
  <c r="CG41" i="14"/>
  <c r="CD41" i="14"/>
  <c r="CC41" i="14"/>
  <c r="CA41" i="14"/>
  <c r="BZ41" i="14"/>
  <c r="BY41" i="14"/>
  <c r="BX41" i="14"/>
  <c r="BW41" i="14"/>
  <c r="BV41" i="14"/>
  <c r="BU41" i="14" s="1"/>
  <c r="CB41" i="14" s="1"/>
  <c r="BT41" i="14"/>
  <c r="BS41" i="14"/>
  <c r="CN41" i="14" s="1"/>
  <c r="BR41" i="14"/>
  <c r="BQ41" i="14"/>
  <c r="BP41" i="14"/>
  <c r="BO41" i="14"/>
  <c r="BN41" i="14"/>
  <c r="BM41" i="14"/>
  <c r="BL41" i="14"/>
  <c r="BK41" i="14"/>
  <c r="BJ41" i="14"/>
  <c r="BI41" i="14"/>
  <c r="BH41" i="14"/>
  <c r="BG41" i="14"/>
  <c r="BF41" i="14"/>
  <c r="BE41" i="14"/>
  <c r="AU41" i="14"/>
  <c r="AN41" i="14"/>
  <c r="CM40" i="14"/>
  <c r="CG40" i="14"/>
  <c r="CD40" i="14"/>
  <c r="CC40" i="14"/>
  <c r="CA40" i="14"/>
  <c r="BZ40" i="14"/>
  <c r="BY40" i="14"/>
  <c r="CK40" i="14" s="1"/>
  <c r="BX40" i="14"/>
  <c r="BW40" i="14"/>
  <c r="BV40" i="14"/>
  <c r="BT40" i="14"/>
  <c r="BS40" i="14"/>
  <c r="BR40" i="14"/>
  <c r="BQ40" i="14"/>
  <c r="BN40" i="14"/>
  <c r="BM40" i="14"/>
  <c r="BL40" i="14"/>
  <c r="BK40" i="14"/>
  <c r="BJ40" i="14"/>
  <c r="BI40" i="14"/>
  <c r="BF40" i="14"/>
  <c r="BE40" i="14"/>
  <c r="AN40" i="14"/>
  <c r="BG40" i="14" s="1"/>
  <c r="CD39" i="14"/>
  <c r="CC39" i="14"/>
  <c r="CA39" i="14"/>
  <c r="BZ39" i="14"/>
  <c r="BY39" i="14"/>
  <c r="BX39" i="14"/>
  <c r="BW39" i="14"/>
  <c r="BV39" i="14"/>
  <c r="BU39" i="14" s="1"/>
  <c r="BT39" i="14"/>
  <c r="BS39" i="14"/>
  <c r="CN39" i="14" s="1"/>
  <c r="BR39" i="14"/>
  <c r="BQ39" i="14"/>
  <c r="BP39" i="14"/>
  <c r="BO39" i="14"/>
  <c r="BN39" i="14"/>
  <c r="BM39" i="14"/>
  <c r="BL39" i="14"/>
  <c r="BK39" i="14"/>
  <c r="BJ39" i="14"/>
  <c r="BI39" i="14"/>
  <c r="BH39" i="14"/>
  <c r="BG39" i="14"/>
  <c r="BF39" i="14"/>
  <c r="BE39" i="14"/>
  <c r="AN39" i="14"/>
  <c r="AU39" i="14" s="1"/>
  <c r="CM38" i="14"/>
  <c r="CH38" i="14"/>
  <c r="CD38" i="14"/>
  <c r="CC38" i="14"/>
  <c r="CA38" i="14"/>
  <c r="BZ38" i="14"/>
  <c r="BY38" i="14"/>
  <c r="BX38" i="14"/>
  <c r="BW38" i="14"/>
  <c r="BV38" i="14"/>
  <c r="BU38" i="14" s="1"/>
  <c r="BT38" i="14"/>
  <c r="BS38" i="14"/>
  <c r="CN38" i="14" s="1"/>
  <c r="BR38" i="14"/>
  <c r="BQ38" i="14"/>
  <c r="BP38" i="14"/>
  <c r="BO38" i="14"/>
  <c r="BN38" i="14"/>
  <c r="BM38" i="14"/>
  <c r="BL38" i="14"/>
  <c r="BK38" i="14"/>
  <c r="BJ38" i="14"/>
  <c r="BI38" i="14"/>
  <c r="BH38" i="14"/>
  <c r="BG38" i="14"/>
  <c r="BF38" i="14"/>
  <c r="BE38" i="14"/>
  <c r="AN38" i="14"/>
  <c r="AU38" i="14" s="1"/>
  <c r="CQ37" i="14"/>
  <c r="CM37" i="14"/>
  <c r="CL37" i="14"/>
  <c r="CH37" i="14"/>
  <c r="CD37" i="14"/>
  <c r="CG37" i="14" s="1"/>
  <c r="CC37" i="14"/>
  <c r="CA37" i="14"/>
  <c r="BZ37" i="14"/>
  <c r="BY37" i="14"/>
  <c r="BX37" i="14"/>
  <c r="BW37" i="14"/>
  <c r="BV37" i="14"/>
  <c r="BT37" i="14"/>
  <c r="BS37" i="14"/>
  <c r="CN37" i="14" s="1"/>
  <c r="BR37" i="14"/>
  <c r="BQ37" i="14"/>
  <c r="BP37" i="14"/>
  <c r="BO37" i="14"/>
  <c r="BN37" i="14"/>
  <c r="BM37" i="14"/>
  <c r="BL37" i="14"/>
  <c r="BK37" i="14"/>
  <c r="BJ37" i="14"/>
  <c r="BI37" i="14"/>
  <c r="BH37" i="14"/>
  <c r="BG37" i="14"/>
  <c r="BF37" i="14"/>
  <c r="BE37" i="14"/>
  <c r="AN37" i="14"/>
  <c r="AU37" i="14" s="1"/>
  <c r="CK36" i="14"/>
  <c r="CD36" i="14"/>
  <c r="CG36" i="14" s="1"/>
  <c r="CC36" i="14"/>
  <c r="CA36" i="14"/>
  <c r="BZ36" i="14"/>
  <c r="CM36" i="14" s="1"/>
  <c r="BY36" i="14"/>
  <c r="BX36" i="14"/>
  <c r="BW36" i="14"/>
  <c r="BV36" i="14"/>
  <c r="BT36" i="14"/>
  <c r="BS36" i="14"/>
  <c r="BR36" i="14"/>
  <c r="BQ36" i="14"/>
  <c r="BN36" i="14"/>
  <c r="BM36" i="14"/>
  <c r="BL36" i="14"/>
  <c r="BK36" i="14"/>
  <c r="BJ36" i="14"/>
  <c r="BI36" i="14"/>
  <c r="BF36" i="14"/>
  <c r="BE36" i="14"/>
  <c r="AU36" i="14"/>
  <c r="BP36" i="14" s="1"/>
  <c r="AN36" i="14"/>
  <c r="BG36" i="14" s="1"/>
  <c r="CD35" i="14"/>
  <c r="CC35" i="14"/>
  <c r="CA35" i="14"/>
  <c r="BZ35" i="14"/>
  <c r="BY35" i="14"/>
  <c r="BX35" i="14"/>
  <c r="BW35" i="14"/>
  <c r="BV35" i="14"/>
  <c r="BT35" i="14"/>
  <c r="BS35" i="14"/>
  <c r="CN35" i="14" s="1"/>
  <c r="BR35" i="14"/>
  <c r="BQ35" i="14"/>
  <c r="BN35" i="14"/>
  <c r="BM35" i="14"/>
  <c r="BL35" i="14"/>
  <c r="BK35" i="14"/>
  <c r="BJ35" i="14"/>
  <c r="BI35" i="14"/>
  <c r="BF35" i="14"/>
  <c r="BE35" i="14"/>
  <c r="AN35" i="14"/>
  <c r="AU35" i="14" s="1"/>
  <c r="CM34" i="14"/>
  <c r="CD34" i="14"/>
  <c r="CC34" i="14"/>
  <c r="CA34" i="14"/>
  <c r="BZ34" i="14"/>
  <c r="BY34" i="14"/>
  <c r="BX34" i="14"/>
  <c r="BW34" i="14"/>
  <c r="BV34" i="14"/>
  <c r="BT34" i="14"/>
  <c r="BS34" i="14"/>
  <c r="CN34" i="14" s="1"/>
  <c r="BR34" i="14"/>
  <c r="BQ34" i="14"/>
  <c r="BN34" i="14"/>
  <c r="BM34" i="14"/>
  <c r="BL34" i="14"/>
  <c r="BK34" i="14"/>
  <c r="BJ34" i="14"/>
  <c r="BI34" i="14"/>
  <c r="BG34" i="14"/>
  <c r="BF34" i="14"/>
  <c r="BE34" i="14"/>
  <c r="AN34" i="14"/>
  <c r="BH34" i="14" s="1"/>
  <c r="CL33" i="14"/>
  <c r="CD33" i="14"/>
  <c r="CG33" i="14" s="1"/>
  <c r="CC33" i="14"/>
  <c r="CA33" i="14"/>
  <c r="BZ33" i="14"/>
  <c r="CM33" i="14" s="1"/>
  <c r="BY33" i="14"/>
  <c r="BX33" i="14"/>
  <c r="BW33" i="14"/>
  <c r="BV33" i="14"/>
  <c r="BT33" i="14"/>
  <c r="BS33" i="14"/>
  <c r="BR33" i="14"/>
  <c r="BQ33" i="14"/>
  <c r="BN33" i="14"/>
  <c r="BM33" i="14"/>
  <c r="BL33" i="14"/>
  <c r="BK33" i="14"/>
  <c r="BJ33" i="14"/>
  <c r="BI33" i="14"/>
  <c r="BF33" i="14"/>
  <c r="BE33" i="14"/>
  <c r="AN33" i="14"/>
  <c r="BH33" i="14" s="1"/>
  <c r="CD32" i="14"/>
  <c r="CG32" i="14" s="1"/>
  <c r="CC32" i="14"/>
  <c r="CA32" i="14"/>
  <c r="BZ32" i="14"/>
  <c r="CM32" i="14" s="1"/>
  <c r="BY32" i="14"/>
  <c r="CK32" i="14" s="1"/>
  <c r="BX32" i="14"/>
  <c r="BW32" i="14"/>
  <c r="BV32" i="14"/>
  <c r="BT32" i="14"/>
  <c r="BS32" i="14"/>
  <c r="BR32" i="14"/>
  <c r="BQ32" i="14"/>
  <c r="BN32" i="14"/>
  <c r="BM32" i="14"/>
  <c r="BL32" i="14"/>
  <c r="BK32" i="14"/>
  <c r="BJ32" i="14"/>
  <c r="BI32" i="14"/>
  <c r="BH32" i="14"/>
  <c r="BF32" i="14"/>
  <c r="BE32" i="14"/>
  <c r="AN32" i="14"/>
  <c r="BG32" i="14" s="1"/>
  <c r="CD31" i="14"/>
  <c r="CC31" i="14"/>
  <c r="CA31" i="14"/>
  <c r="BZ31" i="14"/>
  <c r="BY31" i="14"/>
  <c r="BX31" i="14"/>
  <c r="BW31" i="14"/>
  <c r="BV31" i="14"/>
  <c r="BT31" i="14"/>
  <c r="BS31" i="14"/>
  <c r="BR31" i="14"/>
  <c r="BQ31" i="14"/>
  <c r="BN31" i="14"/>
  <c r="BM31" i="14"/>
  <c r="BL31" i="14"/>
  <c r="BK31" i="14"/>
  <c r="BJ31" i="14"/>
  <c r="BI31" i="14"/>
  <c r="BF31" i="14"/>
  <c r="BE31" i="14"/>
  <c r="AN31" i="14"/>
  <c r="CM30" i="14"/>
  <c r="CH30" i="14"/>
  <c r="CD30" i="14"/>
  <c r="CC30" i="14"/>
  <c r="CA30" i="14"/>
  <c r="BZ30" i="14"/>
  <c r="BY30" i="14"/>
  <c r="BX30" i="14"/>
  <c r="BW30" i="14"/>
  <c r="BV30" i="14"/>
  <c r="BT30" i="14"/>
  <c r="BS30" i="14"/>
  <c r="CN30" i="14" s="1"/>
  <c r="BR30" i="14"/>
  <c r="BQ30" i="14"/>
  <c r="BP30" i="14"/>
  <c r="BO30" i="14"/>
  <c r="BN30" i="14"/>
  <c r="BM30" i="14"/>
  <c r="BL30" i="14"/>
  <c r="BK30" i="14"/>
  <c r="BJ30" i="14"/>
  <c r="BI30" i="14"/>
  <c r="BH30" i="14"/>
  <c r="BG30" i="14"/>
  <c r="BF30" i="14"/>
  <c r="BE30" i="14"/>
  <c r="AN30" i="14"/>
  <c r="AU30" i="14" s="1"/>
  <c r="CQ29" i="14"/>
  <c r="CP29" i="14"/>
  <c r="CO29" i="14"/>
  <c r="CM29" i="14"/>
  <c r="CL29" i="14"/>
  <c r="CK29" i="14"/>
  <c r="CI29" i="14"/>
  <c r="CH29" i="14"/>
  <c r="CG29" i="14"/>
  <c r="CD29" i="14"/>
  <c r="CC29" i="14"/>
  <c r="CA29" i="14"/>
  <c r="BZ29" i="14"/>
  <c r="BY29" i="14"/>
  <c r="BX29" i="14"/>
  <c r="BW29" i="14"/>
  <c r="BV29" i="14"/>
  <c r="BU29" i="14" s="1"/>
  <c r="CB29" i="14" s="1"/>
  <c r="BT29" i="14"/>
  <c r="BS29" i="14"/>
  <c r="BR29" i="14"/>
  <c r="BQ29" i="14"/>
  <c r="BP29" i="14"/>
  <c r="BO29" i="14"/>
  <c r="BN29" i="14"/>
  <c r="BM29" i="14"/>
  <c r="BL29" i="14"/>
  <c r="BK29" i="14"/>
  <c r="BJ29" i="14"/>
  <c r="BI29" i="14"/>
  <c r="BH29" i="14"/>
  <c r="BG29" i="14"/>
  <c r="BF29" i="14"/>
  <c r="BE29" i="14"/>
  <c r="AU29" i="14"/>
  <c r="AN29" i="14"/>
  <c r="B29" i="14"/>
  <c r="AB22" i="14"/>
  <c r="AB21" i="14"/>
  <c r="AY5" i="14"/>
  <c r="AK5" i="14"/>
  <c r="AH5" i="14"/>
  <c r="AG5" i="14"/>
  <c r="AF5" i="14"/>
  <c r="AE5" i="14"/>
  <c r="AD5" i="14"/>
  <c r="AC5" i="14"/>
  <c r="CE2" i="14"/>
  <c r="CD2" i="14"/>
  <c r="CC2" i="14"/>
  <c r="CB2" i="14"/>
  <c r="CA2" i="14"/>
  <c r="BZ2" i="14"/>
  <c r="BY2" i="14"/>
  <c r="BX2" i="14"/>
  <c r="BW2" i="14"/>
  <c r="BV2" i="14"/>
  <c r="BU2" i="14"/>
  <c r="BT2" i="14"/>
  <c r="BS2" i="14"/>
  <c r="BR2" i="14"/>
  <c r="BQ2" i="14"/>
  <c r="BD2" i="14"/>
  <c r="BC2" i="14"/>
  <c r="AD40" i="13"/>
  <c r="AC40" i="13"/>
  <c r="AD38" i="13"/>
  <c r="AE34" i="22" s="1"/>
  <c r="AD37" i="13"/>
  <c r="AE33" i="22" s="1"/>
  <c r="AD36" i="13"/>
  <c r="AE32" i="22" s="1"/>
  <c r="AD35" i="13"/>
  <c r="AE31" i="22" s="1"/>
  <c r="AD34" i="13"/>
  <c r="AE30" i="22" s="1"/>
  <c r="AD33" i="13"/>
  <c r="AD32" i="13"/>
  <c r="AE28" i="22" s="1"/>
  <c r="AE27" i="22"/>
  <c r="AE30" i="13"/>
  <c r="AE31" i="17" s="1"/>
  <c r="AE29" i="13"/>
  <c r="AE30" i="17" s="1"/>
  <c r="AE28" i="13"/>
  <c r="AE29" i="17" s="1"/>
  <c r="AE27" i="13"/>
  <c r="AE28" i="17" s="1"/>
  <c r="AD26" i="13"/>
  <c r="AE24" i="13"/>
  <c r="AD24" i="13"/>
  <c r="AB21" i="13"/>
  <c r="AE2" i="13"/>
  <c r="AD30" i="12"/>
  <c r="AC30" i="12"/>
  <c r="AE24" i="12"/>
  <c r="AD24" i="12"/>
  <c r="AB21" i="12"/>
  <c r="AE2" i="12"/>
  <c r="AC53" i="11"/>
  <c r="AI49" i="11"/>
  <c r="AI46" i="11" s="1"/>
  <c r="AG49" i="11"/>
  <c r="AI48" i="11"/>
  <c r="AG48" i="11"/>
  <c r="AG45" i="11"/>
  <c r="AI45" i="11" s="1"/>
  <c r="AI44" i="11" s="1"/>
  <c r="AG44" i="11"/>
  <c r="AG43" i="11"/>
  <c r="AI43" i="11" s="1"/>
  <c r="AG42" i="11"/>
  <c r="AI42" i="11" s="1"/>
  <c r="AG41" i="11"/>
  <c r="AI41" i="11" s="1"/>
  <c r="AI40" i="11" s="1"/>
  <c r="AI39" i="11"/>
  <c r="AG39" i="11"/>
  <c r="AG36" i="11"/>
  <c r="AI36" i="11" s="1"/>
  <c r="AG35" i="11"/>
  <c r="AI35" i="11" s="1"/>
  <c r="AG34" i="11"/>
  <c r="AI34" i="11" s="1"/>
  <c r="AG33" i="11"/>
  <c r="AI33" i="11" s="1"/>
  <c r="AG32" i="11"/>
  <c r="AI32" i="11" s="1"/>
  <c r="AG31" i="11"/>
  <c r="AI31" i="11" s="1"/>
  <c r="AI29" i="11" s="1"/>
  <c r="AI28" i="11"/>
  <c r="AG28" i="11"/>
  <c r="AE24" i="11"/>
  <c r="AB21" i="11"/>
  <c r="AC45" i="10"/>
  <c r="AI42" i="10"/>
  <c r="AG42" i="10"/>
  <c r="AG41" i="10" s="1"/>
  <c r="AI41" i="10"/>
  <c r="AI40" i="10"/>
  <c r="AG40" i="10"/>
  <c r="AI39" i="10"/>
  <c r="AI37" i="10" s="1"/>
  <c r="AG39" i="10"/>
  <c r="AG36" i="10"/>
  <c r="AG35" i="10" s="1"/>
  <c r="AG34" i="10"/>
  <c r="AI34" i="10" s="1"/>
  <c r="AG33" i="10"/>
  <c r="AI33" i="10" s="1"/>
  <c r="AG32" i="10"/>
  <c r="AI32" i="10" s="1"/>
  <c r="AI31" i="10" s="1"/>
  <c r="AI28" i="10" s="1"/>
  <c r="AI30" i="10"/>
  <c r="AG30" i="10"/>
  <c r="AE24" i="10"/>
  <c r="AB21" i="10"/>
  <c r="AD52" i="9"/>
  <c r="AC52" i="9"/>
  <c r="AI49" i="9"/>
  <c r="AG49" i="9"/>
  <c r="AI48" i="9"/>
  <c r="AI46" i="9" s="1"/>
  <c r="AG48" i="9"/>
  <c r="AG45" i="9"/>
  <c r="AG44" i="9" s="1"/>
  <c r="AG43" i="9"/>
  <c r="AI43" i="9" s="1"/>
  <c r="AG42" i="9"/>
  <c r="AI42" i="9" s="1"/>
  <c r="AG41" i="9"/>
  <c r="AI41" i="9" s="1"/>
  <c r="AG40" i="9"/>
  <c r="AI40" i="9" s="1"/>
  <c r="AG39" i="9"/>
  <c r="AI39" i="9" s="1"/>
  <c r="AI37" i="9" s="1"/>
  <c r="AG36" i="9"/>
  <c r="AG35" i="9"/>
  <c r="AG34" i="9"/>
  <c r="AG33" i="9"/>
  <c r="AI31" i="9"/>
  <c r="AG31" i="9"/>
  <c r="AI30" i="9"/>
  <c r="AI28" i="9" s="1"/>
  <c r="AG30" i="9"/>
  <c r="AE24" i="9"/>
  <c r="AB21" i="9"/>
  <c r="AB34" i="8"/>
  <c r="B34" i="8"/>
  <c r="AB33" i="8"/>
  <c r="B33" i="8"/>
  <c r="AB32" i="8"/>
  <c r="AB35" i="8" s="1"/>
  <c r="B35" i="8" s="1"/>
  <c r="B32" i="8"/>
  <c r="B31" i="8"/>
  <c r="B30" i="8"/>
  <c r="B29" i="8"/>
  <c r="B28" i="8"/>
  <c r="B27" i="8"/>
  <c r="B26" i="8"/>
  <c r="AB21" i="8"/>
  <c r="AC5" i="8"/>
  <c r="B36" i="7"/>
  <c r="H48" i="5"/>
  <c r="H47" i="5"/>
  <c r="H46" i="5"/>
  <c r="H45" i="5"/>
  <c r="H44" i="5"/>
  <c r="H40" i="5"/>
  <c r="H39" i="5"/>
  <c r="H38" i="5"/>
  <c r="H37" i="5"/>
  <c r="H31" i="5"/>
  <c r="H30" i="5"/>
  <c r="H29" i="5"/>
  <c r="B42" i="4"/>
  <c r="B41" i="4"/>
  <c r="AE40" i="4"/>
  <c r="B40" i="4"/>
  <c r="AE39" i="4"/>
  <c r="B39" i="4"/>
  <c r="B37" i="4"/>
  <c r="B36" i="4"/>
  <c r="B35" i="4"/>
  <c r="B34" i="4"/>
  <c r="B31" i="4"/>
  <c r="B30" i="4"/>
  <c r="B29" i="4"/>
  <c r="B28" i="4"/>
  <c r="B27" i="4"/>
  <c r="B16" i="3"/>
  <c r="AE58" i="22" l="1"/>
  <c r="AE52" i="22"/>
  <c r="AE54" i="22"/>
  <c r="AE31" i="13"/>
  <c r="AF27" i="22" s="1"/>
  <c r="AF51" i="22" s="1"/>
  <c r="AD41" i="17"/>
  <c r="AM35" i="15"/>
  <c r="AT35" i="15" s="1"/>
  <c r="AM33" i="15"/>
  <c r="AM36" i="15"/>
  <c r="AT36" i="15" s="1"/>
  <c r="AM37" i="15"/>
  <c r="AT37" i="15" s="1"/>
  <c r="AH42" i="20"/>
  <c r="AE26" i="13"/>
  <c r="AE32" i="13"/>
  <c r="AF28" i="22" s="1"/>
  <c r="AF52" i="22" s="1"/>
  <c r="AE37" i="13"/>
  <c r="AF33" i="22" s="1"/>
  <c r="AF58" i="22" s="1"/>
  <c r="AE53" i="22"/>
  <c r="AE57" i="22"/>
  <c r="AE59" i="22"/>
  <c r="AD35" i="17"/>
  <c r="AE33" i="13"/>
  <c r="AF29" i="22" s="1"/>
  <c r="AE36" i="13"/>
  <c r="AF32" i="22" s="1"/>
  <c r="AF57" i="22" s="1"/>
  <c r="AD37" i="17"/>
  <c r="AU241" i="14"/>
  <c r="BH83" i="14"/>
  <c r="BH205" i="14"/>
  <c r="BH208" i="14"/>
  <c r="BH214" i="14"/>
  <c r="AU32" i="14"/>
  <c r="BO32" i="14" s="1"/>
  <c r="AU83" i="14"/>
  <c r="BO83" i="14" s="1"/>
  <c r="BH103" i="14"/>
  <c r="AU182" i="14"/>
  <c r="BO182" i="14" s="1"/>
  <c r="AU205" i="14"/>
  <c r="AU208" i="14"/>
  <c r="BO208" i="14" s="1"/>
  <c r="BH210" i="14"/>
  <c r="BH218" i="14"/>
  <c r="BH228" i="14"/>
  <c r="BU36" i="14"/>
  <c r="CB36" i="14" s="1"/>
  <c r="CQ36" i="14" s="1"/>
  <c r="BU44" i="14"/>
  <c r="BU61" i="14"/>
  <c r="CB61" i="14" s="1"/>
  <c r="BO68" i="14"/>
  <c r="BO84" i="14"/>
  <c r="BO90" i="14"/>
  <c r="BO148" i="14"/>
  <c r="BO150" i="14"/>
  <c r="BU155" i="14"/>
  <c r="CB155" i="14" s="1"/>
  <c r="BO169" i="14"/>
  <c r="BH190" i="14"/>
  <c r="BH191" i="14"/>
  <c r="BP193" i="14"/>
  <c r="AU197" i="14"/>
  <c r="AU198" i="14"/>
  <c r="AU200" i="14"/>
  <c r="AU202" i="14"/>
  <c r="BP202" i="14" s="1"/>
  <c r="AU210" i="14"/>
  <c r="AU212" i="14"/>
  <c r="AU216" i="14"/>
  <c r="BO216" i="14" s="1"/>
  <c r="AU218" i="14"/>
  <c r="BO218" i="14" s="1"/>
  <c r="BH220" i="14"/>
  <c r="BH222" i="14"/>
  <c r="BH224" i="14"/>
  <c r="BH226" i="14"/>
  <c r="AU228" i="14"/>
  <c r="BO232" i="14"/>
  <c r="BH60" i="14"/>
  <c r="AU48" i="14"/>
  <c r="BO48" i="14" s="1"/>
  <c r="AU60" i="14"/>
  <c r="BO60" i="14" s="1"/>
  <c r="BH197" i="14"/>
  <c r="BH198" i="14"/>
  <c r="BH202" i="14"/>
  <c r="BH212" i="14"/>
  <c r="AU214" i="14"/>
  <c r="BU63" i="14"/>
  <c r="BO91" i="14"/>
  <c r="BO105" i="14"/>
  <c r="BU32" i="14"/>
  <c r="CB32" i="14" s="1"/>
  <c r="BH36" i="14"/>
  <c r="BH44" i="14"/>
  <c r="BU48" i="14"/>
  <c r="CB48" i="14" s="1"/>
  <c r="CQ48" i="14" s="1"/>
  <c r="BU52" i="14"/>
  <c r="CB52" i="14" s="1"/>
  <c r="BH56" i="14"/>
  <c r="BU60" i="14"/>
  <c r="CB60" i="14" s="1"/>
  <c r="BU66" i="14"/>
  <c r="CB66" i="14" s="1"/>
  <c r="BG68" i="14"/>
  <c r="BO82" i="14"/>
  <c r="BG84" i="14"/>
  <c r="BH85" i="14"/>
  <c r="BG90" i="14"/>
  <c r="BG91" i="14"/>
  <c r="BU93" i="14"/>
  <c r="BU94" i="14"/>
  <c r="BU98" i="14"/>
  <c r="CB98" i="14" s="1"/>
  <c r="BU99" i="14"/>
  <c r="CB99" i="14" s="1"/>
  <c r="BO104" i="14"/>
  <c r="BG105" i="14"/>
  <c r="BO117" i="14"/>
  <c r="BO118" i="14"/>
  <c r="BO121" i="14"/>
  <c r="BO135" i="14"/>
  <c r="BO138" i="14"/>
  <c r="BO139" i="14"/>
  <c r="BO146" i="14"/>
  <c r="BO147" i="14"/>
  <c r="BG148" i="14"/>
  <c r="BG150" i="14"/>
  <c r="BO154" i="14"/>
  <c r="BO157" i="14"/>
  <c r="BG169" i="14"/>
  <c r="BH189" i="14"/>
  <c r="AU190" i="14"/>
  <c r="AU191" i="14"/>
  <c r="BP191" i="14" s="1"/>
  <c r="BH193" i="14"/>
  <c r="AU220" i="14"/>
  <c r="AU222" i="14"/>
  <c r="AU224" i="14"/>
  <c r="AU226" i="14"/>
  <c r="BO230" i="14"/>
  <c r="BO231" i="14"/>
  <c r="BG232" i="14"/>
  <c r="BP35" i="14"/>
  <c r="BO35" i="14"/>
  <c r="BO77" i="14"/>
  <c r="BP77" i="14"/>
  <c r="BO195" i="14"/>
  <c r="BP195" i="14"/>
  <c r="BP32" i="14"/>
  <c r="BH75" i="14"/>
  <c r="AU75" i="14"/>
  <c r="BU103" i="14"/>
  <c r="CP121" i="14"/>
  <c r="BU121" i="14"/>
  <c r="CB121" i="14" s="1"/>
  <c r="BU131" i="14"/>
  <c r="CB131" i="14" s="1"/>
  <c r="BU132" i="14"/>
  <c r="CB132" i="14" s="1"/>
  <c r="BU163" i="14"/>
  <c r="CB163" i="14" s="1"/>
  <c r="BH164" i="14"/>
  <c r="BP164" i="14"/>
  <c r="BU169" i="14"/>
  <c r="CB169" i="14" s="1"/>
  <c r="CP169" i="14" s="1"/>
  <c r="BU173" i="14"/>
  <c r="CB223" i="14"/>
  <c r="CP223" i="14" s="1"/>
  <c r="CH223" i="14"/>
  <c r="AN239" i="14"/>
  <c r="BG31" i="14"/>
  <c r="BG33" i="14"/>
  <c r="AU34" i="14"/>
  <c r="BH35" i="14"/>
  <c r="CB38" i="14"/>
  <c r="CB39" i="14"/>
  <c r="BH42" i="14"/>
  <c r="AU42" i="14"/>
  <c r="BH43" i="14"/>
  <c r="AU43" i="14"/>
  <c r="BH46" i="14"/>
  <c r="AU46" i="14"/>
  <c r="BH47" i="14"/>
  <c r="AU47" i="14"/>
  <c r="BH58" i="14"/>
  <c r="AU58" i="14"/>
  <c r="BH59" i="14"/>
  <c r="AU59" i="14"/>
  <c r="AU67" i="14"/>
  <c r="CH67" i="14"/>
  <c r="AU74" i="14"/>
  <c r="BG74" i="14"/>
  <c r="BH77" i="14"/>
  <c r="BH80" i="14"/>
  <c r="BH90" i="14"/>
  <c r="CB94" i="14"/>
  <c r="BH95" i="14"/>
  <c r="CO138" i="14"/>
  <c r="BH146" i="14"/>
  <c r="BU147" i="14"/>
  <c r="CI147" i="14" s="1"/>
  <c r="CB168" i="14"/>
  <c r="CQ168" i="14" s="1"/>
  <c r="CH168" i="14"/>
  <c r="AU179" i="14"/>
  <c r="BG179" i="14"/>
  <c r="BH183" i="14"/>
  <c r="AU183" i="14"/>
  <c r="BG183" i="14"/>
  <c r="BH195" i="14"/>
  <c r="BH223" i="14"/>
  <c r="AU223" i="14"/>
  <c r="BG223" i="14"/>
  <c r="AU31" i="14"/>
  <c r="BH31" i="14"/>
  <c r="AU33" i="14"/>
  <c r="BU34" i="14"/>
  <c r="CI34" i="14" s="1"/>
  <c r="BU35" i="14"/>
  <c r="CB35" i="14" s="1"/>
  <c r="CP35" i="14" s="1"/>
  <c r="BO36" i="14"/>
  <c r="BU37" i="14"/>
  <c r="CB37" i="14" s="1"/>
  <c r="AU40" i="14"/>
  <c r="BH40" i="14"/>
  <c r="CN42" i="14"/>
  <c r="CN43" i="14"/>
  <c r="BH45" i="14"/>
  <c r="AU45" i="14"/>
  <c r="CN46" i="14"/>
  <c r="CN47" i="14"/>
  <c r="BH50" i="14"/>
  <c r="AU50" i="14"/>
  <c r="BH51" i="14"/>
  <c r="AU51" i="14"/>
  <c r="CH53" i="14"/>
  <c r="BU55" i="14"/>
  <c r="CB55" i="14" s="1"/>
  <c r="BO56" i="14"/>
  <c r="BH57" i="14"/>
  <c r="AU57" i="14"/>
  <c r="CN58" i="14"/>
  <c r="BU62" i="14"/>
  <c r="CB63" i="14"/>
  <c r="BG64" i="14"/>
  <c r="BO64" i="14"/>
  <c r="BU65" i="14"/>
  <c r="CB65" i="14" s="1"/>
  <c r="CQ65" i="14" s="1"/>
  <c r="BU68" i="14"/>
  <c r="CB68" i="14" s="1"/>
  <c r="CQ68" i="14" s="1"/>
  <c r="BH73" i="14"/>
  <c r="AU73" i="14"/>
  <c r="BU73" i="14"/>
  <c r="CB73" i="14" s="1"/>
  <c r="CQ73" i="14" s="1"/>
  <c r="BU88" i="14"/>
  <c r="CB88" i="14" s="1"/>
  <c r="CP88" i="14" s="1"/>
  <c r="AU89" i="14"/>
  <c r="BG89" i="14"/>
  <c r="AU92" i="14"/>
  <c r="BG92" i="14"/>
  <c r="BG93" i="14"/>
  <c r="BO93" i="14"/>
  <c r="BU97" i="14"/>
  <c r="CB97" i="14" s="1"/>
  <c r="BG100" i="14"/>
  <c r="BO100" i="14"/>
  <c r="BU100" i="14"/>
  <c r="CB100" i="14" s="1"/>
  <c r="CP100" i="14" s="1"/>
  <c r="AU106" i="14"/>
  <c r="BG106" i="14"/>
  <c r="BU107" i="14"/>
  <c r="CB107" i="14" s="1"/>
  <c r="BG108" i="14"/>
  <c r="BO108" i="14"/>
  <c r="BU108" i="14"/>
  <c r="BU113" i="14"/>
  <c r="CB113" i="14" s="1"/>
  <c r="AU116" i="14"/>
  <c r="BG116" i="14"/>
  <c r="BH118" i="14"/>
  <c r="BG127" i="14"/>
  <c r="BO127" i="14"/>
  <c r="BU127" i="14"/>
  <c r="CB127" i="14" s="1"/>
  <c r="CP127" i="14" s="1"/>
  <c r="BU136" i="14"/>
  <c r="CB136" i="14" s="1"/>
  <c r="BU143" i="14"/>
  <c r="CB143" i="14" s="1"/>
  <c r="BU148" i="14"/>
  <c r="CB148" i="14" s="1"/>
  <c r="CQ148" i="14" s="1"/>
  <c r="BU164" i="14"/>
  <c r="CB164" i="14" s="1"/>
  <c r="CP164" i="14" s="1"/>
  <c r="BG167" i="14"/>
  <c r="BO167" i="14"/>
  <c r="BU167" i="14"/>
  <c r="CI167" i="14" s="1"/>
  <c r="AU178" i="14"/>
  <c r="BG178" i="14"/>
  <c r="BU180" i="14"/>
  <c r="CB180" i="14" s="1"/>
  <c r="BG181" i="14"/>
  <c r="BU183" i="14"/>
  <c r="CB183" i="14" s="1"/>
  <c r="CP183" i="14" s="1"/>
  <c r="BU184" i="14"/>
  <c r="CB184" i="14" s="1"/>
  <c r="BO189" i="14"/>
  <c r="BP189" i="14"/>
  <c r="BH221" i="14"/>
  <c r="AU221" i="14"/>
  <c r="BG221" i="14"/>
  <c r="BG35" i="14"/>
  <c r="BG67" i="14"/>
  <c r="BG77" i="14"/>
  <c r="AU102" i="14"/>
  <c r="BG102" i="14"/>
  <c r="BU105" i="14"/>
  <c r="CB105" i="14" s="1"/>
  <c r="CP105" i="14" s="1"/>
  <c r="BU129" i="14"/>
  <c r="CB129" i="14" s="1"/>
  <c r="BP141" i="14"/>
  <c r="BU146" i="14"/>
  <c r="AU149" i="14"/>
  <c r="BG149" i="14"/>
  <c r="BP151" i="14"/>
  <c r="BU157" i="14"/>
  <c r="CB157" i="14" s="1"/>
  <c r="CP157" i="14" s="1"/>
  <c r="BG195" i="14"/>
  <c r="BH199" i="14"/>
  <c r="AU199" i="14"/>
  <c r="BG199" i="14"/>
  <c r="AN241" i="14"/>
  <c r="AN238" i="14" s="1"/>
  <c r="CN31" i="14"/>
  <c r="CN33" i="14"/>
  <c r="BH62" i="14"/>
  <c r="BU79" i="14"/>
  <c r="CB79" i="14" s="1"/>
  <c r="CP79" i="14" s="1"/>
  <c r="BH87" i="14"/>
  <c r="CB118" i="14"/>
  <c r="CQ118" i="14" s="1"/>
  <c r="CI118" i="14"/>
  <c r="BU138" i="14"/>
  <c r="AU144" i="14"/>
  <c r="BG144" i="14"/>
  <c r="BU30" i="14"/>
  <c r="CB30" i="14" s="1"/>
  <c r="BU31" i="14"/>
  <c r="BU33" i="14"/>
  <c r="BP44" i="14"/>
  <c r="CL48" i="14"/>
  <c r="BU54" i="14"/>
  <c r="BP60" i="14"/>
  <c r="BH64" i="14"/>
  <c r="BH71" i="14"/>
  <c r="AU71" i="14"/>
  <c r="BU71" i="14"/>
  <c r="AU72" i="14"/>
  <c r="BG72" i="14"/>
  <c r="BG75" i="14"/>
  <c r="AU78" i="14"/>
  <c r="BG78" i="14"/>
  <c r="BP85" i="14"/>
  <c r="BH93" i="14"/>
  <c r="BH100" i="14"/>
  <c r="BH102" i="14"/>
  <c r="BH108" i="14"/>
  <c r="BU112" i="14"/>
  <c r="CB112" i="14" s="1"/>
  <c r="BU114" i="14"/>
  <c r="CB114" i="14" s="1"/>
  <c r="BU117" i="14"/>
  <c r="CI117" i="14" s="1"/>
  <c r="BU119" i="14"/>
  <c r="CB119" i="14" s="1"/>
  <c r="BU123" i="14"/>
  <c r="CB123" i="14" s="1"/>
  <c r="BU124" i="14"/>
  <c r="CB124" i="14" s="1"/>
  <c r="BH127" i="14"/>
  <c r="BG141" i="14"/>
  <c r="BU141" i="14"/>
  <c r="CI141" i="14" s="1"/>
  <c r="BH149" i="14"/>
  <c r="BU150" i="14"/>
  <c r="CB150" i="14" s="1"/>
  <c r="CQ150" i="14" s="1"/>
  <c r="BG151" i="14"/>
  <c r="BU152" i="14"/>
  <c r="CB152" i="14" s="1"/>
  <c r="BU153" i="14"/>
  <c r="BG164" i="14"/>
  <c r="BU166" i="14"/>
  <c r="CB166" i="14" s="1"/>
  <c r="BH167" i="14"/>
  <c r="BU174" i="14"/>
  <c r="CB174" i="14" s="1"/>
  <c r="AU181" i="14"/>
  <c r="BP182" i="14"/>
  <c r="CB206" i="14"/>
  <c r="CH206" i="14"/>
  <c r="BP208" i="14"/>
  <c r="CB209" i="14"/>
  <c r="CH209" i="14"/>
  <c r="CH225" i="14"/>
  <c r="BU40" i="14"/>
  <c r="CB40" i="14" s="1"/>
  <c r="CQ40" i="14" s="1"/>
  <c r="BU49" i="14"/>
  <c r="CB49" i="14" s="1"/>
  <c r="BG53" i="14"/>
  <c r="BG54" i="14"/>
  <c r="CN54" i="14"/>
  <c r="BG55" i="14"/>
  <c r="CN55" i="14"/>
  <c r="BU56" i="14"/>
  <c r="CB56" i="14" s="1"/>
  <c r="CQ56" i="14" s="1"/>
  <c r="CL57" i="14"/>
  <c r="BG61" i="14"/>
  <c r="BG65" i="14"/>
  <c r="CL65" i="14"/>
  <c r="BH68" i="14"/>
  <c r="BU69" i="14"/>
  <c r="CB69" i="14" s="1"/>
  <c r="BG70" i="14"/>
  <c r="BO70" i="14"/>
  <c r="BG79" i="14"/>
  <c r="BG81" i="14"/>
  <c r="BH82" i="14"/>
  <c r="BU83" i="14"/>
  <c r="CB83" i="14" s="1"/>
  <c r="CQ83" i="14" s="1"/>
  <c r="BH84" i="14"/>
  <c r="BU85" i="14"/>
  <c r="BH88" i="14"/>
  <c r="BU89" i="14"/>
  <c r="CB89" i="14" s="1"/>
  <c r="CQ89" i="14" s="1"/>
  <c r="BU96" i="14"/>
  <c r="CB96" i="14" s="1"/>
  <c r="CL100" i="14"/>
  <c r="BU104" i="14"/>
  <c r="BH105" i="14"/>
  <c r="BU109" i="14"/>
  <c r="CB109" i="14" s="1"/>
  <c r="CO110" i="14"/>
  <c r="BU110" i="14"/>
  <c r="BU111" i="14"/>
  <c r="CB111" i="14" s="1"/>
  <c r="BH117" i="14"/>
  <c r="CL120" i="14"/>
  <c r="BU120" i="14"/>
  <c r="BH121" i="14"/>
  <c r="BU125" i="14"/>
  <c r="CB125" i="14" s="1"/>
  <c r="BU126" i="14"/>
  <c r="CB126" i="14" s="1"/>
  <c r="CL128" i="14"/>
  <c r="BU128" i="14"/>
  <c r="CH128" i="14" s="1"/>
  <c r="BU133" i="14"/>
  <c r="CB133" i="14" s="1"/>
  <c r="CO134" i="14"/>
  <c r="BU134" i="14"/>
  <c r="CH134" i="14" s="1"/>
  <c r="BU135" i="14"/>
  <c r="CB135" i="14" s="1"/>
  <c r="BH138" i="14"/>
  <c r="CI139" i="14"/>
  <c r="BU139" i="14"/>
  <c r="BU140" i="14"/>
  <c r="CB140" i="14" s="1"/>
  <c r="BU145" i="14"/>
  <c r="CB145" i="14" s="1"/>
  <c r="CP145" i="14" s="1"/>
  <c r="BH147" i="14"/>
  <c r="BH148" i="14"/>
  <c r="BU151" i="14"/>
  <c r="CB151" i="14" s="1"/>
  <c r="CP154" i="14"/>
  <c r="BU162" i="14"/>
  <c r="CB162" i="14" s="1"/>
  <c r="BU165" i="14"/>
  <c r="CB165" i="14" s="1"/>
  <c r="BH173" i="14"/>
  <c r="BU177" i="14"/>
  <c r="CB177" i="14" s="1"/>
  <c r="BU181" i="14"/>
  <c r="BO198" i="14"/>
  <c r="BP198" i="14"/>
  <c r="BO200" i="14"/>
  <c r="BP200" i="14"/>
  <c r="CN211" i="14"/>
  <c r="BU211" i="14"/>
  <c r="BH215" i="14"/>
  <c r="AU215" i="14"/>
  <c r="CB219" i="14"/>
  <c r="CP219" i="14" s="1"/>
  <c r="CH219" i="14"/>
  <c r="BH225" i="14"/>
  <c r="AU225" i="14"/>
  <c r="BG225" i="14"/>
  <c r="CN227" i="14"/>
  <c r="BU227" i="14"/>
  <c r="CI227" i="14" s="1"/>
  <c r="BU42" i="14"/>
  <c r="BU43" i="14"/>
  <c r="CB43" i="14" s="1"/>
  <c r="BU45" i="14"/>
  <c r="BU46" i="14"/>
  <c r="BU47" i="14"/>
  <c r="CB47" i="14" s="1"/>
  <c r="CM48" i="14"/>
  <c r="BU50" i="14"/>
  <c r="BU51" i="14"/>
  <c r="CB51" i="14" s="1"/>
  <c r="CQ51" i="14" s="1"/>
  <c r="AU53" i="14"/>
  <c r="CP53" i="14"/>
  <c r="AU54" i="14"/>
  <c r="AU55" i="14"/>
  <c r="BU57" i="14"/>
  <c r="BU58" i="14"/>
  <c r="BU59" i="14"/>
  <c r="CB59" i="14" s="1"/>
  <c r="CQ59" i="14" s="1"/>
  <c r="AU61" i="14"/>
  <c r="BU64" i="14"/>
  <c r="CB64" i="14" s="1"/>
  <c r="AU65" i="14"/>
  <c r="BH70" i="14"/>
  <c r="BU77" i="14"/>
  <c r="CB77" i="14" s="1"/>
  <c r="CP77" i="14" s="1"/>
  <c r="AU79" i="14"/>
  <c r="AU81" i="14"/>
  <c r="CK83" i="14"/>
  <c r="CN85" i="14"/>
  <c r="BH86" i="14"/>
  <c r="BU87" i="14"/>
  <c r="CB87" i="14" s="1"/>
  <c r="BU90" i="14"/>
  <c r="CB90" i="14" s="1"/>
  <c r="CQ90" i="14" s="1"/>
  <c r="BH91" i="14"/>
  <c r="CL92" i="14"/>
  <c r="BU92" i="14"/>
  <c r="BU95" i="14"/>
  <c r="BU101" i="14"/>
  <c r="CB101" i="14" s="1"/>
  <c r="CO102" i="14"/>
  <c r="BU102" i="14"/>
  <c r="BH104" i="14"/>
  <c r="CO106" i="14"/>
  <c r="BU106" i="14"/>
  <c r="BH110" i="14"/>
  <c r="BU115" i="14"/>
  <c r="CB115" i="14" s="1"/>
  <c r="BU116" i="14"/>
  <c r="CB116" i="14" s="1"/>
  <c r="CQ116" i="14" s="1"/>
  <c r="BH120" i="14"/>
  <c r="BU122" i="14"/>
  <c r="CB122" i="14" s="1"/>
  <c r="BH128" i="14"/>
  <c r="BU130" i="14"/>
  <c r="CB130" i="14" s="1"/>
  <c r="BH134" i="14"/>
  <c r="BH135" i="14"/>
  <c r="BU137" i="14"/>
  <c r="CB137" i="14" s="1"/>
  <c r="BH139" i="14"/>
  <c r="BU142" i="14"/>
  <c r="CB142" i="14" s="1"/>
  <c r="BU144" i="14"/>
  <c r="BH145" i="14"/>
  <c r="BU149" i="14"/>
  <c r="BH150" i="14"/>
  <c r="AU168" i="14"/>
  <c r="BG168" i="14"/>
  <c r="AU170" i="14"/>
  <c r="BG170" i="14"/>
  <c r="BU171" i="14"/>
  <c r="CB171" i="14" s="1"/>
  <c r="BU178" i="14"/>
  <c r="CB178" i="14" s="1"/>
  <c r="CQ178" i="14" s="1"/>
  <c r="BU182" i="14"/>
  <c r="CI182" i="14" s="1"/>
  <c r="CO199" i="14"/>
  <c r="BU199" i="14"/>
  <c r="CB199" i="14" s="1"/>
  <c r="BH211" i="14"/>
  <c r="AU211" i="14"/>
  <c r="BG211" i="14"/>
  <c r="BP216" i="14"/>
  <c r="CN221" i="14"/>
  <c r="BU221" i="14"/>
  <c r="CI221" i="14" s="1"/>
  <c r="BH227" i="14"/>
  <c r="AU227" i="14"/>
  <c r="BG227" i="14"/>
  <c r="CB230" i="14"/>
  <c r="CI230" i="14"/>
  <c r="BG194" i="14"/>
  <c r="BU194" i="14"/>
  <c r="CI194" i="14" s="1"/>
  <c r="BG196" i="14"/>
  <c r="CB196" i="14"/>
  <c r="CP196" i="14" s="1"/>
  <c r="CH196" i="14"/>
  <c r="BH201" i="14"/>
  <c r="AU201" i="14"/>
  <c r="BG207" i="14"/>
  <c r="CN215" i="14"/>
  <c r="BU215" i="14"/>
  <c r="CI215" i="14" s="1"/>
  <c r="BH217" i="14"/>
  <c r="AU217" i="14"/>
  <c r="BU233" i="14"/>
  <c r="CB233" i="14" s="1"/>
  <c r="CQ233" i="14" s="1"/>
  <c r="BU236" i="14"/>
  <c r="CB236" i="14" s="1"/>
  <c r="BH153" i="14"/>
  <c r="BH154" i="14"/>
  <c r="BU156" i="14"/>
  <c r="CB156" i="14" s="1"/>
  <c r="BH157" i="14"/>
  <c r="BH160" i="14"/>
  <c r="BU161" i="14"/>
  <c r="CB161" i="14" s="1"/>
  <c r="BH169" i="14"/>
  <c r="CO170" i="14"/>
  <c r="BU170" i="14"/>
  <c r="BH174" i="14"/>
  <c r="CP174" i="14"/>
  <c r="BU175" i="14"/>
  <c r="CB175" i="14" s="1"/>
  <c r="BU179" i="14"/>
  <c r="BU186" i="14"/>
  <c r="CB186" i="14" s="1"/>
  <c r="BU188" i="14"/>
  <c r="CB188" i="14" s="1"/>
  <c r="CH190" i="14"/>
  <c r="BU192" i="14"/>
  <c r="CB192" i="14" s="1"/>
  <c r="AU194" i="14"/>
  <c r="AU196" i="14"/>
  <c r="BU201" i="14"/>
  <c r="CB203" i="14"/>
  <c r="CB205" i="14"/>
  <c r="CP205" i="14" s="1"/>
  <c r="CH205" i="14"/>
  <c r="BH206" i="14"/>
  <c r="AU206" i="14"/>
  <c r="AU207" i="14"/>
  <c r="BH209" i="14"/>
  <c r="AU209" i="14"/>
  <c r="CN217" i="14"/>
  <c r="BU217" i="14"/>
  <c r="BH219" i="14"/>
  <c r="AU219" i="14"/>
  <c r="BU229" i="14"/>
  <c r="CB229" i="14" s="1"/>
  <c r="BH230" i="14"/>
  <c r="CO231" i="14"/>
  <c r="BH233" i="14"/>
  <c r="BU234" i="14"/>
  <c r="CB234" i="14" s="1"/>
  <c r="BU189" i="14"/>
  <c r="BO191" i="14"/>
  <c r="CO191" i="14"/>
  <c r="BU191" i="14"/>
  <c r="CB191" i="14" s="1"/>
  <c r="CP191" i="14" s="1"/>
  <c r="BU197" i="14"/>
  <c r="CI197" i="14" s="1"/>
  <c r="BU202" i="14"/>
  <c r="CB202" i="14" s="1"/>
  <c r="CQ202" i="14" s="1"/>
  <c r="BU204" i="14"/>
  <c r="CB204" i="14" s="1"/>
  <c r="BH231" i="14"/>
  <c r="BU232" i="14"/>
  <c r="CB232" i="14" s="1"/>
  <c r="CQ232" i="14" s="1"/>
  <c r="BU193" i="14"/>
  <c r="BU198" i="14"/>
  <c r="CB198" i="14" s="1"/>
  <c r="CP198" i="14" s="1"/>
  <c r="BU200" i="14"/>
  <c r="CI200" i="14" s="1"/>
  <c r="BU208" i="14"/>
  <c r="BU210" i="14"/>
  <c r="BU212" i="14"/>
  <c r="CI212" i="14" s="1"/>
  <c r="BU214" i="14"/>
  <c r="CI214" i="14" s="1"/>
  <c r="BU216" i="14"/>
  <c r="BU218" i="14"/>
  <c r="BU220" i="14"/>
  <c r="BU222" i="14"/>
  <c r="CN224" i="14"/>
  <c r="BU224" i="14"/>
  <c r="CN226" i="14"/>
  <c r="BU226" i="14"/>
  <c r="CN228" i="14"/>
  <c r="BU228" i="14"/>
  <c r="BU231" i="14"/>
  <c r="BH232" i="14"/>
  <c r="BU235" i="14"/>
  <c r="CB235" i="14" s="1"/>
  <c r="CI39" i="14"/>
  <c r="CO43" i="14"/>
  <c r="CO47" i="14"/>
  <c r="CP48" i="14"/>
  <c r="CI51" i="14"/>
  <c r="CO51" i="14"/>
  <c r="CI55" i="14"/>
  <c r="CO55" i="14"/>
  <c r="CI59" i="14"/>
  <c r="CJ89" i="14"/>
  <c r="CF89" i="14"/>
  <c r="CO113" i="14"/>
  <c r="CQ113" i="14"/>
  <c r="CI113" i="14"/>
  <c r="CL113" i="14"/>
  <c r="CH113" i="14"/>
  <c r="CI30" i="14"/>
  <c r="CK31" i="14"/>
  <c r="CI38" i="14"/>
  <c r="CO38" i="14"/>
  <c r="CK39" i="14"/>
  <c r="CP39" i="14"/>
  <c r="CL40" i="14"/>
  <c r="CK43" i="14"/>
  <c r="CP43" i="14"/>
  <c r="CL44" i="14"/>
  <c r="CK47" i="14"/>
  <c r="CI50" i="14"/>
  <c r="CO50" i="14"/>
  <c r="CK51" i="14"/>
  <c r="CO58" i="14"/>
  <c r="CQ61" i="14"/>
  <c r="CM61" i="14"/>
  <c r="CH61" i="14"/>
  <c r="CP61" i="14"/>
  <c r="CI61" i="14"/>
  <c r="CL61" i="14"/>
  <c r="CH118" i="14"/>
  <c r="CO135" i="14"/>
  <c r="CM135" i="14"/>
  <c r="CQ135" i="14"/>
  <c r="CP135" i="14"/>
  <c r="CO145" i="14"/>
  <c r="CQ145" i="14"/>
  <c r="CL145" i="14"/>
  <c r="CO148" i="14"/>
  <c r="CP148" i="14"/>
  <c r="CN157" i="14"/>
  <c r="CJ157" i="14"/>
  <c r="CH174" i="14"/>
  <c r="CN181" i="14"/>
  <c r="CL181" i="14"/>
  <c r="CK181" i="14"/>
  <c r="CG181" i="14"/>
  <c r="AV238" i="14"/>
  <c r="AS238" i="14"/>
  <c r="CK46" i="14"/>
  <c r="CG47" i="14"/>
  <c r="CL47" i="14"/>
  <c r="CH48" i="14"/>
  <c r="CI49" i="14"/>
  <c r="CO49" i="14"/>
  <c r="CK50" i="14"/>
  <c r="CG51" i="14"/>
  <c r="CL51" i="14"/>
  <c r="CH52" i="14"/>
  <c r="CM52" i="14"/>
  <c r="CN53" i="14"/>
  <c r="CI53" i="14"/>
  <c r="CO53" i="14"/>
  <c r="CK54" i="14"/>
  <c r="CG55" i="14"/>
  <c r="CL55" i="14"/>
  <c r="CQ55" i="14"/>
  <c r="CH56" i="14"/>
  <c r="CN57" i="14"/>
  <c r="CO57" i="14"/>
  <c r="CK58" i="14"/>
  <c r="CG59" i="14"/>
  <c r="CO61" i="14"/>
  <c r="CL63" i="14"/>
  <c r="CH63" i="14"/>
  <c r="CN63" i="14"/>
  <c r="CJ71" i="14"/>
  <c r="CN82" i="14"/>
  <c r="CK82" i="14"/>
  <c r="CO100" i="14"/>
  <c r="CH100" i="14"/>
  <c r="CI100" i="14"/>
  <c r="CQ100" i="14"/>
  <c r="CL104" i="14"/>
  <c r="CO111" i="14"/>
  <c r="CM111" i="14"/>
  <c r="CQ111" i="14"/>
  <c r="CH111" i="14"/>
  <c r="CP111" i="14"/>
  <c r="CM113" i="14"/>
  <c r="CL144" i="14"/>
  <c r="CF151" i="14"/>
  <c r="CQ151" i="14"/>
  <c r="CL151" i="14"/>
  <c r="CO173" i="14"/>
  <c r="CL173" i="14"/>
  <c r="CL180" i="14"/>
  <c r="CK180" i="14"/>
  <c r="CN202" i="14"/>
  <c r="CL202" i="14"/>
  <c r="CG202" i="14"/>
  <c r="CO202" i="14"/>
  <c r="CK202" i="14"/>
  <c r="CO31" i="14"/>
  <c r="CO35" i="14"/>
  <c r="CP36" i="14"/>
  <c r="CO39" i="14"/>
  <c r="CN59" i="14"/>
  <c r="CM59" i="14"/>
  <c r="CP59" i="14"/>
  <c r="CO66" i="14"/>
  <c r="CH66" i="14"/>
  <c r="CN66" i="14"/>
  <c r="CL94" i="14"/>
  <c r="CQ94" i="14"/>
  <c r="CF94" i="14"/>
  <c r="CO124" i="14"/>
  <c r="CP124" i="14"/>
  <c r="CH124" i="14"/>
  <c r="CI124" i="14"/>
  <c r="CQ124" i="14"/>
  <c r="CO132" i="14"/>
  <c r="CP132" i="14"/>
  <c r="CH132" i="14"/>
  <c r="CI132" i="14"/>
  <c r="CQ132" i="14"/>
  <c r="CJ150" i="14"/>
  <c r="CO164" i="14"/>
  <c r="CH164" i="14"/>
  <c r="CL169" i="14"/>
  <c r="CO176" i="14"/>
  <c r="CH176" i="14"/>
  <c r="CP176" i="14"/>
  <c r="CO177" i="14"/>
  <c r="CH177" i="14"/>
  <c r="CL177" i="14"/>
  <c r="CP177" i="14"/>
  <c r="CN199" i="14"/>
  <c r="CL199" i="14"/>
  <c r="CP199" i="14"/>
  <c r="CG199" i="14"/>
  <c r="CK199" i="14"/>
  <c r="CN203" i="14"/>
  <c r="CL203" i="14"/>
  <c r="CH203" i="14"/>
  <c r="CP203" i="14"/>
  <c r="CG203" i="14"/>
  <c r="CO203" i="14"/>
  <c r="CK203" i="14"/>
  <c r="CO233" i="14"/>
  <c r="CP233" i="14"/>
  <c r="CM233" i="14"/>
  <c r="CL233" i="14"/>
  <c r="CO30" i="14"/>
  <c r="CL32" i="14"/>
  <c r="CO34" i="14"/>
  <c r="CK35" i="14"/>
  <c r="CL36" i="14"/>
  <c r="CI42" i="14"/>
  <c r="CO42" i="14"/>
  <c r="CO46" i="14"/>
  <c r="CP51" i="14"/>
  <c r="CO54" i="14"/>
  <c r="CK55" i="14"/>
  <c r="CP55" i="14"/>
  <c r="CI58" i="14"/>
  <c r="CK59" i="14"/>
  <c r="CJ75" i="14"/>
  <c r="CK75" i="14"/>
  <c r="CF75" i="14"/>
  <c r="CO105" i="14"/>
  <c r="CQ105" i="14"/>
  <c r="CI105" i="14"/>
  <c r="CL105" i="14"/>
  <c r="CH105" i="14"/>
  <c r="CO108" i="14"/>
  <c r="CH108" i="14"/>
  <c r="CO116" i="14"/>
  <c r="CI116" i="14"/>
  <c r="CO119" i="14"/>
  <c r="CM119" i="14"/>
  <c r="CQ119" i="14"/>
  <c r="CH119" i="14"/>
  <c r="CP119" i="14"/>
  <c r="CO127" i="14"/>
  <c r="CM127" i="14"/>
  <c r="CQ127" i="14"/>
  <c r="CO181" i="14"/>
  <c r="CN198" i="14"/>
  <c r="CL198" i="14"/>
  <c r="CG198" i="14"/>
  <c r="CO198" i="14"/>
  <c r="AR238" i="14"/>
  <c r="AO238" i="14"/>
  <c r="CK30" i="14"/>
  <c r="CP30" i="14"/>
  <c r="CG31" i="14"/>
  <c r="CL31" i="14"/>
  <c r="CI33" i="14"/>
  <c r="CO33" i="14"/>
  <c r="CK34" i="14"/>
  <c r="CG35" i="14"/>
  <c r="CL35" i="14"/>
  <c r="CQ35" i="14"/>
  <c r="CI37" i="14"/>
  <c r="CO37" i="14"/>
  <c r="CK38" i="14"/>
  <c r="CP38" i="14"/>
  <c r="CG39" i="14"/>
  <c r="CL39" i="14"/>
  <c r="CQ39" i="14"/>
  <c r="CI41" i="14"/>
  <c r="CO41" i="14"/>
  <c r="CK42" i="14"/>
  <c r="CG43" i="14"/>
  <c r="CL43" i="14"/>
  <c r="CQ43" i="14"/>
  <c r="CI45" i="14"/>
  <c r="CG30" i="14"/>
  <c r="CL30" i="14"/>
  <c r="CQ30" i="14"/>
  <c r="CM31" i="14"/>
  <c r="CN32" i="14"/>
  <c r="CI32" i="14"/>
  <c r="CO32" i="14"/>
  <c r="CK33" i="14"/>
  <c r="CG34" i="14"/>
  <c r="CL34" i="14"/>
  <c r="CM35" i="14"/>
  <c r="CN36" i="14"/>
  <c r="CO36" i="14"/>
  <c r="CK37" i="14"/>
  <c r="CP37" i="14"/>
  <c r="CG38" i="14"/>
  <c r="CL38" i="14"/>
  <c r="CQ38" i="14"/>
  <c r="CH39" i="14"/>
  <c r="CM39" i="14"/>
  <c r="CN40" i="14"/>
  <c r="CO40" i="14"/>
  <c r="CK41" i="14"/>
  <c r="CP41" i="14"/>
  <c r="CG42" i="14"/>
  <c r="CL42" i="14"/>
  <c r="CH43" i="14"/>
  <c r="CM43" i="14"/>
  <c r="CN44" i="14"/>
  <c r="CO44" i="14"/>
  <c r="CK45" i="14"/>
  <c r="CG46" i="14"/>
  <c r="CL46" i="14"/>
  <c r="CM47" i="14"/>
  <c r="CN48" i="14"/>
  <c r="CI48" i="14"/>
  <c r="CO48" i="14"/>
  <c r="CG50" i="14"/>
  <c r="CL50" i="14"/>
  <c r="CM51" i="14"/>
  <c r="CI52" i="14"/>
  <c r="CO52" i="14"/>
  <c r="CG54" i="14"/>
  <c r="CL54" i="14"/>
  <c r="CH55" i="14"/>
  <c r="CM55" i="14"/>
  <c r="CN56" i="14"/>
  <c r="CO56" i="14"/>
  <c r="CG58" i="14"/>
  <c r="CL58" i="14"/>
  <c r="CH59" i="14"/>
  <c r="CO59" i="14"/>
  <c r="CG61" i="14"/>
  <c r="CN67" i="14"/>
  <c r="CG67" i="14"/>
  <c r="CJ67" i="14"/>
  <c r="CO67" i="14"/>
  <c r="CL68" i="14"/>
  <c r="CK71" i="14"/>
  <c r="CN75" i="14"/>
  <c r="CN79" i="14"/>
  <c r="CJ79" i="14"/>
  <c r="CF79" i="14"/>
  <c r="CM91" i="14"/>
  <c r="CH91" i="14"/>
  <c r="CN96" i="14"/>
  <c r="CQ96" i="14"/>
  <c r="CI96" i="14"/>
  <c r="CP96" i="14"/>
  <c r="CO103" i="14"/>
  <c r="CM103" i="14"/>
  <c r="CH103" i="14"/>
  <c r="CM105" i="14"/>
  <c r="CL108" i="14"/>
  <c r="CP113" i="14"/>
  <c r="CL116" i="14"/>
  <c r="CI119" i="14"/>
  <c r="CO121" i="14"/>
  <c r="CQ121" i="14"/>
  <c r="CI121" i="14"/>
  <c r="CL121" i="14"/>
  <c r="CH121" i="14"/>
  <c r="CM124" i="14"/>
  <c r="CI127" i="14"/>
  <c r="CO129" i="14"/>
  <c r="CQ129" i="14"/>
  <c r="CI129" i="14"/>
  <c r="CL129" i="14"/>
  <c r="CH129" i="14"/>
  <c r="CM132" i="14"/>
  <c r="CI135" i="14"/>
  <c r="CO137" i="14"/>
  <c r="CQ137" i="14"/>
  <c r="CI137" i="14"/>
  <c r="CL137" i="14"/>
  <c r="CH137" i="14"/>
  <c r="CO140" i="14"/>
  <c r="CP140" i="14"/>
  <c r="CH140" i="14"/>
  <c r="CI140" i="14"/>
  <c r="CQ140" i="14"/>
  <c r="CO143" i="14"/>
  <c r="CM143" i="14"/>
  <c r="CQ143" i="14"/>
  <c r="CH143" i="14"/>
  <c r="CP143" i="14"/>
  <c r="CM145" i="14"/>
  <c r="CL148" i="14"/>
  <c r="CN153" i="14"/>
  <c r="CL157" i="14"/>
  <c r="CL164" i="14"/>
  <c r="CL176" i="14"/>
  <c r="CN183" i="14"/>
  <c r="CK183" i="14"/>
  <c r="CO183" i="14"/>
  <c r="CL183" i="14"/>
  <c r="CG183" i="14"/>
  <c r="CN187" i="14"/>
  <c r="CO187" i="14"/>
  <c r="CG187" i="14"/>
  <c r="CP187" i="14"/>
  <c r="CL187" i="14"/>
  <c r="CK187" i="14"/>
  <c r="CK198" i="14"/>
  <c r="CN60" i="14"/>
  <c r="CL60" i="14"/>
  <c r="CI60" i="14"/>
  <c r="CN62" i="14"/>
  <c r="CL69" i="14"/>
  <c r="CN73" i="14"/>
  <c r="CN74" i="14"/>
  <c r="CK74" i="14"/>
  <c r="CN77" i="14"/>
  <c r="CJ87" i="14"/>
  <c r="CF87" i="14"/>
  <c r="CJ93" i="14"/>
  <c r="CJ97" i="14"/>
  <c r="CO101" i="14"/>
  <c r="CQ101" i="14"/>
  <c r="CI101" i="14"/>
  <c r="CM101" i="14"/>
  <c r="CO109" i="14"/>
  <c r="CQ109" i="14"/>
  <c r="CI109" i="14"/>
  <c r="CM109" i="14"/>
  <c r="CO117" i="14"/>
  <c r="CM117" i="14"/>
  <c r="CO125" i="14"/>
  <c r="CQ125" i="14"/>
  <c r="CI125" i="14"/>
  <c r="CM125" i="14"/>
  <c r="CO133" i="14"/>
  <c r="CQ133" i="14"/>
  <c r="CI133" i="14"/>
  <c r="CM133" i="14"/>
  <c r="CO141" i="14"/>
  <c r="CM141" i="14"/>
  <c r="CO149" i="14"/>
  <c r="CI149" i="14"/>
  <c r="CM149" i="14"/>
  <c r="CL154" i="14"/>
  <c r="CQ155" i="14"/>
  <c r="CP158" i="14"/>
  <c r="CQ159" i="14"/>
  <c r="CH160" i="14"/>
  <c r="CM160" i="14"/>
  <c r="CO175" i="14"/>
  <c r="CL175" i="14"/>
  <c r="CN188" i="14"/>
  <c r="CO188" i="14"/>
  <c r="CG188" i="14"/>
  <c r="CK188" i="14"/>
  <c r="CH188" i="14"/>
  <c r="CN190" i="14"/>
  <c r="CL190" i="14"/>
  <c r="CP190" i="14"/>
  <c r="CG190" i="14"/>
  <c r="CO190" i="14"/>
  <c r="CK190" i="14"/>
  <c r="CN194" i="14"/>
  <c r="CL194" i="14"/>
  <c r="CG194" i="14"/>
  <c r="CO194" i="14"/>
  <c r="CN195" i="14"/>
  <c r="CL195" i="14"/>
  <c r="CH195" i="14"/>
  <c r="CP195" i="14"/>
  <c r="CG195" i="14"/>
  <c r="CO232" i="14"/>
  <c r="CP232" i="14"/>
  <c r="CM232" i="14"/>
  <c r="CL232" i="14"/>
  <c r="CI232" i="14"/>
  <c r="CJ83" i="14"/>
  <c r="CN83" i="14"/>
  <c r="CL93" i="14"/>
  <c r="CL97" i="14"/>
  <c r="CO104" i="14"/>
  <c r="CH104" i="14"/>
  <c r="CM104" i="14"/>
  <c r="CO107" i="14"/>
  <c r="CM107" i="14"/>
  <c r="CL107" i="14"/>
  <c r="CO112" i="14"/>
  <c r="CP112" i="14"/>
  <c r="CH112" i="14"/>
  <c r="CM112" i="14"/>
  <c r="CO115" i="14"/>
  <c r="CM115" i="14"/>
  <c r="CL115" i="14"/>
  <c r="CO120" i="14"/>
  <c r="CM120" i="14"/>
  <c r="CO123" i="14"/>
  <c r="CM123" i="14"/>
  <c r="CL123" i="14"/>
  <c r="CO128" i="14"/>
  <c r="CM128" i="14"/>
  <c r="CO131" i="14"/>
  <c r="CM131" i="14"/>
  <c r="CL131" i="14"/>
  <c r="CO136" i="14"/>
  <c r="CP136" i="14"/>
  <c r="CH136" i="14"/>
  <c r="CM136" i="14"/>
  <c r="CO139" i="14"/>
  <c r="CM139" i="14"/>
  <c r="CL139" i="14"/>
  <c r="CO144" i="14"/>
  <c r="CM144" i="14"/>
  <c r="CO147" i="14"/>
  <c r="CM147" i="14"/>
  <c r="CL147" i="14"/>
  <c r="CL150" i="14"/>
  <c r="CO178" i="14"/>
  <c r="CN191" i="14"/>
  <c r="CL191" i="14"/>
  <c r="CG191" i="14"/>
  <c r="CN206" i="14"/>
  <c r="CL206" i="14"/>
  <c r="CG206" i="14"/>
  <c r="CO206" i="14"/>
  <c r="CN207" i="14"/>
  <c r="CL207" i="14"/>
  <c r="CH207" i="14"/>
  <c r="CP207" i="14"/>
  <c r="CG207" i="14"/>
  <c r="CN182" i="14"/>
  <c r="CL182" i="14"/>
  <c r="CK182" i="14"/>
  <c r="CN189" i="14"/>
  <c r="CO189" i="14"/>
  <c r="CG189" i="14"/>
  <c r="CL189" i="14"/>
  <c r="CN193" i="14"/>
  <c r="CL193" i="14"/>
  <c r="CK193" i="14"/>
  <c r="CN197" i="14"/>
  <c r="CL197" i="14"/>
  <c r="CK197" i="14"/>
  <c r="CN201" i="14"/>
  <c r="CL201" i="14"/>
  <c r="CK201" i="14"/>
  <c r="CN205" i="14"/>
  <c r="CL205" i="14"/>
  <c r="CK205" i="14"/>
  <c r="CO236" i="14"/>
  <c r="CP236" i="14"/>
  <c r="CH236" i="14"/>
  <c r="CM236" i="14"/>
  <c r="CQ236" i="14"/>
  <c r="AW238" i="14"/>
  <c r="CN70" i="14"/>
  <c r="CJ72" i="14"/>
  <c r="CN78" i="14"/>
  <c r="CN86" i="14"/>
  <c r="CJ88" i="14"/>
  <c r="CL90" i="14"/>
  <c r="CF96" i="14"/>
  <c r="CF97" i="14"/>
  <c r="CL102" i="14"/>
  <c r="CL106" i="14"/>
  <c r="CL110" i="14"/>
  <c r="CL114" i="14"/>
  <c r="CL118" i="14"/>
  <c r="CL122" i="14"/>
  <c r="CL126" i="14"/>
  <c r="CL130" i="14"/>
  <c r="CL134" i="14"/>
  <c r="CL138" i="14"/>
  <c r="CL142" i="14"/>
  <c r="CL146" i="14"/>
  <c r="CF157" i="14"/>
  <c r="CF158" i="14"/>
  <c r="CN161" i="14"/>
  <c r="CO163" i="14"/>
  <c r="CH163" i="14"/>
  <c r="CP165" i="14"/>
  <c r="CP166" i="14"/>
  <c r="CO168" i="14"/>
  <c r="CP168" i="14"/>
  <c r="CL168" i="14"/>
  <c r="CO174" i="14"/>
  <c r="CL174" i="14"/>
  <c r="CO179" i="14"/>
  <c r="CO182" i="14"/>
  <c r="CN186" i="14"/>
  <c r="CP186" i="14"/>
  <c r="CH186" i="14"/>
  <c r="CL186" i="14"/>
  <c r="CN192" i="14"/>
  <c r="CL192" i="14"/>
  <c r="CK192" i="14"/>
  <c r="CO193" i="14"/>
  <c r="CN196" i="14"/>
  <c r="CL196" i="14"/>
  <c r="CK196" i="14"/>
  <c r="CO197" i="14"/>
  <c r="CN200" i="14"/>
  <c r="CL200" i="14"/>
  <c r="CK200" i="14"/>
  <c r="CO201" i="14"/>
  <c r="CN204" i="14"/>
  <c r="CL204" i="14"/>
  <c r="CK204" i="14"/>
  <c r="CO205" i="14"/>
  <c r="CN208" i="14"/>
  <c r="CL208" i="14"/>
  <c r="CK208" i="14"/>
  <c r="CK209" i="14"/>
  <c r="CK210" i="14"/>
  <c r="CK211" i="14"/>
  <c r="CK212" i="14"/>
  <c r="CK213" i="14"/>
  <c r="CK214" i="14"/>
  <c r="CK215" i="14"/>
  <c r="CK216" i="14"/>
  <c r="CK217" i="14"/>
  <c r="CK218" i="14"/>
  <c r="CK219" i="14"/>
  <c r="CK220" i="14"/>
  <c r="CK221" i="14"/>
  <c r="CK222" i="14"/>
  <c r="CK223" i="14"/>
  <c r="CK224" i="14"/>
  <c r="CK225" i="14"/>
  <c r="CK226" i="14"/>
  <c r="CK227" i="14"/>
  <c r="CK228" i="14"/>
  <c r="CN229" i="14"/>
  <c r="CL231" i="14"/>
  <c r="CL235" i="14"/>
  <c r="CP171" i="14"/>
  <c r="CL172" i="14"/>
  <c r="CK184" i="14"/>
  <c r="CH185" i="14"/>
  <c r="CP185" i="14"/>
  <c r="CL209" i="14"/>
  <c r="CL210" i="14"/>
  <c r="CL211" i="14"/>
  <c r="CL212" i="14"/>
  <c r="CL213" i="14"/>
  <c r="CL214" i="14"/>
  <c r="CL215" i="14"/>
  <c r="CL216" i="14"/>
  <c r="CL217" i="14"/>
  <c r="CL218" i="14"/>
  <c r="CL219" i="14"/>
  <c r="CL220" i="14"/>
  <c r="CL221" i="14"/>
  <c r="CL222" i="14"/>
  <c r="CL223" i="14"/>
  <c r="CL224" i="14"/>
  <c r="CL225" i="14"/>
  <c r="CL226" i="14"/>
  <c r="CL227" i="14"/>
  <c r="CL228" i="14"/>
  <c r="CP229" i="14"/>
  <c r="CM231" i="14"/>
  <c r="CL234" i="14"/>
  <c r="CM235" i="14"/>
  <c r="AJ238" i="14"/>
  <c r="AQ238" i="14"/>
  <c r="AM38" i="15"/>
  <c r="AT38" i="15" s="1"/>
  <c r="AM34" i="15"/>
  <c r="AT34" i="15" s="1"/>
  <c r="AT33" i="15"/>
  <c r="AM32" i="15"/>
  <c r="AT32" i="15" s="1"/>
  <c r="AD26" i="12"/>
  <c r="AD28" i="12" s="1"/>
  <c r="AE28" i="21" s="1"/>
  <c r="AE39" i="21" s="1"/>
  <c r="AD27" i="23" s="1"/>
  <c r="AM31" i="15"/>
  <c r="AT31" i="15" s="1"/>
  <c r="AT30" i="15"/>
  <c r="AM29" i="15"/>
  <c r="AT29" i="15" s="1"/>
  <c r="AM28" i="15"/>
  <c r="AT28" i="15" s="1"/>
  <c r="AK28" i="15"/>
  <c r="AM27" i="15"/>
  <c r="AT27" i="15"/>
  <c r="AI43" i="10"/>
  <c r="AI37" i="11"/>
  <c r="AI50" i="11" s="1"/>
  <c r="CM84" i="14"/>
  <c r="CL84" i="14"/>
  <c r="CO84" i="14"/>
  <c r="AI45" i="9"/>
  <c r="AI44" i="9" s="1"/>
  <c r="AI50" i="9" s="1"/>
  <c r="AI36" i="10"/>
  <c r="AI35" i="10" s="1"/>
  <c r="AE40" i="17"/>
  <c r="AE35" i="17"/>
  <c r="AE27" i="17"/>
  <c r="AE51" i="22"/>
  <c r="AD86" i="22"/>
  <c r="AE56" i="22"/>
  <c r="CJ62" i="14"/>
  <c r="CG64" i="14"/>
  <c r="CL64" i="14"/>
  <c r="CM65" i="14"/>
  <c r="CI65" i="14"/>
  <c r="CF65" i="14"/>
  <c r="CK65" i="14"/>
  <c r="CP65" i="14"/>
  <c r="CJ66" i="14"/>
  <c r="CG68" i="14"/>
  <c r="CQ69" i="14"/>
  <c r="CM69" i="14"/>
  <c r="CI69" i="14"/>
  <c r="CF69" i="14"/>
  <c r="CK69" i="14"/>
  <c r="CP69" i="14"/>
  <c r="BU70" i="14"/>
  <c r="CB70" i="14" s="1"/>
  <c r="CB240" i="14" s="1"/>
  <c r="CF70" i="14"/>
  <c r="CM73" i="14"/>
  <c r="CI73" i="14"/>
  <c r="CP73" i="14"/>
  <c r="CL73" i="14"/>
  <c r="CH73" i="14"/>
  <c r="CG73" i="14"/>
  <c r="CO73" i="14"/>
  <c r="BU74" i="14"/>
  <c r="CB74" i="14" s="1"/>
  <c r="CF74" i="14"/>
  <c r="CJ76" i="14"/>
  <c r="CQ77" i="14"/>
  <c r="CM77" i="14"/>
  <c r="CL77" i="14"/>
  <c r="CG77" i="14"/>
  <c r="CO77" i="14"/>
  <c r="BU78" i="14"/>
  <c r="CB78" i="14" s="1"/>
  <c r="CP78" i="14" s="1"/>
  <c r="CF78" i="14"/>
  <c r="CJ80" i="14"/>
  <c r="CQ81" i="14"/>
  <c r="CM81" i="14"/>
  <c r="CI81" i="14"/>
  <c r="CP81" i="14"/>
  <c r="CL81" i="14"/>
  <c r="CH81" i="14"/>
  <c r="CG81" i="14"/>
  <c r="CO81" i="14"/>
  <c r="BU82" i="14"/>
  <c r="CB82" i="14" s="1"/>
  <c r="CF82" i="14"/>
  <c r="CJ84" i="14"/>
  <c r="CM85" i="14"/>
  <c r="CL85" i="14"/>
  <c r="CG85" i="14"/>
  <c r="CO85" i="14"/>
  <c r="BU86" i="14"/>
  <c r="CF86" i="14"/>
  <c r="CF64" i="14"/>
  <c r="CK64" i="14"/>
  <c r="CM68" i="14"/>
  <c r="CF68" i="14"/>
  <c r="CQ72" i="14"/>
  <c r="CM72" i="14"/>
  <c r="CL72" i="14"/>
  <c r="CG76" i="14"/>
  <c r="CO80" i="14"/>
  <c r="AE36" i="17"/>
  <c r="AE41" i="17"/>
  <c r="AF81" i="22"/>
  <c r="AE35" i="13"/>
  <c r="AF31" i="22" s="1"/>
  <c r="CM62" i="14"/>
  <c r="CI62" i="14"/>
  <c r="CF62" i="14"/>
  <c r="CK62" i="14"/>
  <c r="CQ66" i="14"/>
  <c r="CM66" i="14"/>
  <c r="CI66" i="14"/>
  <c r="CF66" i="14"/>
  <c r="CK66" i="14"/>
  <c r="CP66" i="14"/>
  <c r="CN68" i="14"/>
  <c r="CM70" i="14"/>
  <c r="CL70" i="14"/>
  <c r="CH70" i="14"/>
  <c r="CG70" i="14"/>
  <c r="CO70" i="14"/>
  <c r="CK72" i="14"/>
  <c r="CQ74" i="14"/>
  <c r="CM74" i="14"/>
  <c r="CP74" i="14"/>
  <c r="CL74" i="14"/>
  <c r="CH74" i="14"/>
  <c r="CG74" i="14"/>
  <c r="CO74" i="14"/>
  <c r="CQ78" i="14"/>
  <c r="CM78" i="14"/>
  <c r="CL78" i="14"/>
  <c r="CG78" i="14"/>
  <c r="CO78" i="14"/>
  <c r="CQ82" i="14"/>
  <c r="CM82" i="14"/>
  <c r="CP82" i="14"/>
  <c r="CL82" i="14"/>
  <c r="CG82" i="14"/>
  <c r="CO82" i="14"/>
  <c r="CK84" i="14"/>
  <c r="CM86" i="14"/>
  <c r="CL86" i="14"/>
  <c r="CG86" i="14"/>
  <c r="CO86" i="14"/>
  <c r="CQ87" i="14"/>
  <c r="CM87" i="14"/>
  <c r="CI87" i="14"/>
  <c r="CP87" i="14"/>
  <c r="CL87" i="14"/>
  <c r="CH87" i="14"/>
  <c r="CO87" i="14"/>
  <c r="CK87" i="14"/>
  <c r="CG87" i="14"/>
  <c r="CN87" i="14"/>
  <c r="CM88" i="14"/>
  <c r="CL88" i="14"/>
  <c r="CH88" i="14"/>
  <c r="CO88" i="14"/>
  <c r="CK88" i="14"/>
  <c r="CG88" i="14"/>
  <c r="CN88" i="14"/>
  <c r="CM89" i="14"/>
  <c r="CP89" i="14"/>
  <c r="CL89" i="14"/>
  <c r="CO89" i="14"/>
  <c r="CK89" i="14"/>
  <c r="CG89" i="14"/>
  <c r="CN89" i="14"/>
  <c r="CO90" i="14"/>
  <c r="CK90" i="14"/>
  <c r="CG90" i="14"/>
  <c r="CP90" i="14"/>
  <c r="CJ90" i="14"/>
  <c r="CN90" i="14"/>
  <c r="CI90" i="14"/>
  <c r="CM90" i="14"/>
  <c r="CH90" i="14"/>
  <c r="CO91" i="14"/>
  <c r="CK91" i="14"/>
  <c r="CG91" i="14"/>
  <c r="CQ91" i="14"/>
  <c r="CL91" i="14"/>
  <c r="CF91" i="14"/>
  <c r="CP91" i="14"/>
  <c r="CJ91" i="14"/>
  <c r="CN91" i="14"/>
  <c r="CI91" i="14"/>
  <c r="CO95" i="14"/>
  <c r="CK95" i="14"/>
  <c r="CG95" i="14"/>
  <c r="CL95" i="14"/>
  <c r="CF95" i="14"/>
  <c r="CJ95" i="14"/>
  <c r="CN95" i="14"/>
  <c r="CI95" i="14"/>
  <c r="CO99" i="14"/>
  <c r="CK99" i="14"/>
  <c r="CG99" i="14"/>
  <c r="CQ99" i="14"/>
  <c r="CL99" i="14"/>
  <c r="CF99" i="14"/>
  <c r="CP99" i="14"/>
  <c r="CJ99" i="14"/>
  <c r="CN99" i="14"/>
  <c r="CI99" i="14"/>
  <c r="AE38" i="17"/>
  <c r="AE43" i="17"/>
  <c r="AE34" i="13"/>
  <c r="AF30" i="22" s="1"/>
  <c r="AF54" i="22" s="1"/>
  <c r="AE38" i="13"/>
  <c r="AF34" i="22" s="1"/>
  <c r="AF59" i="22" s="1"/>
  <c r="CM64" i="14"/>
  <c r="CK68" i="14"/>
  <c r="CG72" i="14"/>
  <c r="CO72" i="14"/>
  <c r="CQ76" i="14"/>
  <c r="CM76" i="14"/>
  <c r="CI76" i="14"/>
  <c r="CP76" i="14"/>
  <c r="CL76" i="14"/>
  <c r="CH76" i="14"/>
  <c r="CO76" i="14"/>
  <c r="CM80" i="14"/>
  <c r="CL80" i="14"/>
  <c r="CG80" i="14"/>
  <c r="CG84" i="14"/>
  <c r="AE42" i="17"/>
  <c r="AE37" i="17"/>
  <c r="CA241" i="14"/>
  <c r="BW241" i="14"/>
  <c r="BX240" i="14"/>
  <c r="BT240" i="14"/>
  <c r="CC239" i="14"/>
  <c r="BY239" i="14"/>
  <c r="BZ241" i="14"/>
  <c r="BV241" i="14"/>
  <c r="CA240" i="14"/>
  <c r="BW240" i="14"/>
  <c r="BX239" i="14"/>
  <c r="BT239" i="14"/>
  <c r="BT242" i="14"/>
  <c r="CC241" i="14"/>
  <c r="BY241" i="14"/>
  <c r="BZ240" i="14"/>
  <c r="BV240" i="14"/>
  <c r="CA239" i="14"/>
  <c r="BW239" i="14"/>
  <c r="BW238" i="14" s="1"/>
  <c r="BY240" i="14"/>
  <c r="BZ239" i="14"/>
  <c r="BX241" i="14"/>
  <c r="BV239" i="14"/>
  <c r="BT241" i="14"/>
  <c r="CC240" i="14"/>
  <c r="CF29" i="14"/>
  <c r="CJ29" i="14"/>
  <c r="CN29" i="14"/>
  <c r="CF30" i="14"/>
  <c r="CJ30" i="14"/>
  <c r="CF31" i="14"/>
  <c r="CJ31" i="14"/>
  <c r="CF32" i="14"/>
  <c r="CJ32" i="14"/>
  <c r="CF33" i="14"/>
  <c r="CJ33" i="14"/>
  <c r="CF34" i="14"/>
  <c r="CJ34" i="14"/>
  <c r="CF35" i="14"/>
  <c r="CJ35" i="14"/>
  <c r="CF36" i="14"/>
  <c r="CJ36" i="14"/>
  <c r="CF37" i="14"/>
  <c r="CJ37" i="14"/>
  <c r="CF38" i="14"/>
  <c r="CJ38" i="14"/>
  <c r="CF39" i="14"/>
  <c r="CJ39" i="14"/>
  <c r="CF40" i="14"/>
  <c r="CJ40" i="14"/>
  <c r="CF41" i="14"/>
  <c r="CJ41" i="14"/>
  <c r="CF42" i="14"/>
  <c r="CJ42" i="14"/>
  <c r="CF43" i="14"/>
  <c r="CJ43" i="14"/>
  <c r="CF44" i="14"/>
  <c r="CJ44" i="14"/>
  <c r="CF45" i="14"/>
  <c r="CJ45" i="14"/>
  <c r="CF46" i="14"/>
  <c r="CJ46" i="14"/>
  <c r="CF47" i="14"/>
  <c r="CJ47" i="14"/>
  <c r="CF48" i="14"/>
  <c r="CJ48" i="14"/>
  <c r="CF49" i="14"/>
  <c r="CJ49" i="14"/>
  <c r="CF50" i="14"/>
  <c r="CJ50" i="14"/>
  <c r="CF51" i="14"/>
  <c r="CJ51" i="14"/>
  <c r="CF52" i="14"/>
  <c r="CJ52" i="14"/>
  <c r="CF53" i="14"/>
  <c r="CJ53" i="14"/>
  <c r="CF54" i="14"/>
  <c r="CJ54" i="14"/>
  <c r="CF55" i="14"/>
  <c r="CJ55" i="14"/>
  <c r="CF56" i="14"/>
  <c r="CJ56" i="14"/>
  <c r="CF57" i="14"/>
  <c r="CJ57" i="14"/>
  <c r="CF58" i="14"/>
  <c r="CJ58" i="14"/>
  <c r="CF59" i="14"/>
  <c r="CJ59" i="14"/>
  <c r="CF60" i="14"/>
  <c r="CJ60" i="14"/>
  <c r="CF61" i="14"/>
  <c r="CJ61" i="14"/>
  <c r="CN61" i="14"/>
  <c r="CG62" i="14"/>
  <c r="CL62" i="14"/>
  <c r="CQ63" i="14"/>
  <c r="CM63" i="14"/>
  <c r="CI63" i="14"/>
  <c r="CF63" i="14"/>
  <c r="CK63" i="14"/>
  <c r="CP63" i="14"/>
  <c r="CJ64" i="14"/>
  <c r="CO64" i="14"/>
  <c r="CH65" i="14"/>
  <c r="CN65" i="14"/>
  <c r="CG66" i="14"/>
  <c r="CL66" i="14"/>
  <c r="CQ67" i="14"/>
  <c r="CM67" i="14"/>
  <c r="CI67" i="14"/>
  <c r="CF67" i="14"/>
  <c r="CK67" i="14"/>
  <c r="CP67" i="14"/>
  <c r="CJ68" i="14"/>
  <c r="CO68" i="14"/>
  <c r="CH69" i="14"/>
  <c r="CN69" i="14"/>
  <c r="CJ70" i="14"/>
  <c r="CM71" i="14"/>
  <c r="CL71" i="14"/>
  <c r="CG71" i="14"/>
  <c r="CO71" i="14"/>
  <c r="BU72" i="14"/>
  <c r="CB72" i="14" s="1"/>
  <c r="CB239" i="14" s="1"/>
  <c r="CF72" i="14"/>
  <c r="CN72" i="14"/>
  <c r="CK73" i="14"/>
  <c r="CJ74" i="14"/>
  <c r="CQ75" i="14"/>
  <c r="CM75" i="14"/>
  <c r="CI75" i="14"/>
  <c r="CP75" i="14"/>
  <c r="CL75" i="14"/>
  <c r="CH75" i="14"/>
  <c r="CG75" i="14"/>
  <c r="CO75" i="14"/>
  <c r="BU76" i="14"/>
  <c r="CB76" i="14" s="1"/>
  <c r="CF76" i="14"/>
  <c r="CN76" i="14"/>
  <c r="CK77" i="14"/>
  <c r="CJ78" i="14"/>
  <c r="CQ79" i="14"/>
  <c r="CM79" i="14"/>
  <c r="CL79" i="14"/>
  <c r="CG79" i="14"/>
  <c r="CO79" i="14"/>
  <c r="BU80" i="14"/>
  <c r="CB80" i="14" s="1"/>
  <c r="CP80" i="14" s="1"/>
  <c r="CF80" i="14"/>
  <c r="CN80" i="14"/>
  <c r="CK81" i="14"/>
  <c r="CJ82" i="14"/>
  <c r="CM83" i="14"/>
  <c r="CP83" i="14"/>
  <c r="CL83" i="14"/>
  <c r="CG83" i="14"/>
  <c r="CO83" i="14"/>
  <c r="BU84" i="14"/>
  <c r="CB84" i="14" s="1"/>
  <c r="CP84" i="14" s="1"/>
  <c r="CF84" i="14"/>
  <c r="CN84" i="14"/>
  <c r="CK85" i="14"/>
  <c r="CJ86" i="14"/>
  <c r="CO94" i="14"/>
  <c r="CK94" i="14"/>
  <c r="CG94" i="14"/>
  <c r="CH94" i="14"/>
  <c r="CM94" i="14"/>
  <c r="CO98" i="14"/>
  <c r="CK98" i="14"/>
  <c r="CG98" i="14"/>
  <c r="CH98" i="14"/>
  <c r="CM98" i="14"/>
  <c r="CO152" i="14"/>
  <c r="CK152" i="14"/>
  <c r="CG152" i="14"/>
  <c r="CQ152" i="14"/>
  <c r="CL152" i="14"/>
  <c r="CF152" i="14"/>
  <c r="CP152" i="14"/>
  <c r="CJ152" i="14"/>
  <c r="CN152" i="14"/>
  <c r="CI152" i="14"/>
  <c r="CO156" i="14"/>
  <c r="CK156" i="14"/>
  <c r="CG156" i="14"/>
  <c r="CQ156" i="14"/>
  <c r="CL156" i="14"/>
  <c r="CF156" i="14"/>
  <c r="CP156" i="14"/>
  <c r="CJ156" i="14"/>
  <c r="CN156" i="14"/>
  <c r="CI156" i="14"/>
  <c r="CO160" i="14"/>
  <c r="CK160" i="14"/>
  <c r="CG160" i="14"/>
  <c r="CQ160" i="14"/>
  <c r="CL160" i="14"/>
  <c r="CF160" i="14"/>
  <c r="CP160" i="14"/>
  <c r="CJ160" i="14"/>
  <c r="CN160" i="14"/>
  <c r="CI160" i="14"/>
  <c r="CO93" i="14"/>
  <c r="CK93" i="14"/>
  <c r="CG93" i="14"/>
  <c r="CM93" i="14"/>
  <c r="CI94" i="14"/>
  <c r="CN94" i="14"/>
  <c r="CO97" i="14"/>
  <c r="CK97" i="14"/>
  <c r="CG97" i="14"/>
  <c r="CH97" i="14"/>
  <c r="CM97" i="14"/>
  <c r="CI98" i="14"/>
  <c r="CN98" i="14"/>
  <c r="CO92" i="14"/>
  <c r="CK92" i="14"/>
  <c r="CG92" i="14"/>
  <c r="CH92" i="14"/>
  <c r="CM92" i="14"/>
  <c r="CN93" i="14"/>
  <c r="CJ94" i="14"/>
  <c r="CP94" i="14"/>
  <c r="CO96" i="14"/>
  <c r="CK96" i="14"/>
  <c r="CG96" i="14"/>
  <c r="CH96" i="14"/>
  <c r="CM96" i="14"/>
  <c r="CI97" i="14"/>
  <c r="CN97" i="14"/>
  <c r="CJ98" i="14"/>
  <c r="CP98" i="14"/>
  <c r="CH152" i="14"/>
  <c r="CH156" i="14"/>
  <c r="CO151" i="14"/>
  <c r="CK151" i="14"/>
  <c r="CG151" i="14"/>
  <c r="CM151" i="14"/>
  <c r="CO155" i="14"/>
  <c r="CK155" i="14"/>
  <c r="CG155" i="14"/>
  <c r="CH155" i="14"/>
  <c r="CM155" i="14"/>
  <c r="CO159" i="14"/>
  <c r="CK159" i="14"/>
  <c r="CG159" i="14"/>
  <c r="CH159" i="14"/>
  <c r="CM159" i="14"/>
  <c r="CO162" i="14"/>
  <c r="CK162" i="14"/>
  <c r="CG162" i="14"/>
  <c r="CQ162" i="14"/>
  <c r="CM162" i="14"/>
  <c r="CI162" i="14"/>
  <c r="CH162" i="14"/>
  <c r="CP162" i="14"/>
  <c r="CF100" i="14"/>
  <c r="CJ100" i="14"/>
  <c r="CN100" i="14"/>
  <c r="CF101" i="14"/>
  <c r="CJ101" i="14"/>
  <c r="CN101" i="14"/>
  <c r="CF102" i="14"/>
  <c r="CJ102" i="14"/>
  <c r="CN102" i="14"/>
  <c r="CF103" i="14"/>
  <c r="CJ103" i="14"/>
  <c r="CN103" i="14"/>
  <c r="CF104" i="14"/>
  <c r="CJ104" i="14"/>
  <c r="CN104" i="14"/>
  <c r="CF105" i="14"/>
  <c r="CJ105" i="14"/>
  <c r="CN105" i="14"/>
  <c r="CF106" i="14"/>
  <c r="CJ106" i="14"/>
  <c r="CN106" i="14"/>
  <c r="CF107" i="14"/>
  <c r="CJ107" i="14"/>
  <c r="CN107" i="14"/>
  <c r="CF108" i="14"/>
  <c r="CJ108" i="14"/>
  <c r="CN108" i="14"/>
  <c r="CF109" i="14"/>
  <c r="CJ109" i="14"/>
  <c r="CN109" i="14"/>
  <c r="CF110" i="14"/>
  <c r="CJ110" i="14"/>
  <c r="CN110" i="14"/>
  <c r="CF111" i="14"/>
  <c r="CJ111" i="14"/>
  <c r="CN111" i="14"/>
  <c r="CF112" i="14"/>
  <c r="CJ112" i="14"/>
  <c r="CN112" i="14"/>
  <c r="CF113" i="14"/>
  <c r="CJ113" i="14"/>
  <c r="CN113" i="14"/>
  <c r="CF114" i="14"/>
  <c r="CJ114" i="14"/>
  <c r="CN114" i="14"/>
  <c r="CF115" i="14"/>
  <c r="CJ115" i="14"/>
  <c r="CN115" i="14"/>
  <c r="CF116" i="14"/>
  <c r="CJ116" i="14"/>
  <c r="CN116" i="14"/>
  <c r="CF117" i="14"/>
  <c r="CJ117" i="14"/>
  <c r="CN117" i="14"/>
  <c r="CF118" i="14"/>
  <c r="CJ118" i="14"/>
  <c r="CN118" i="14"/>
  <c r="CF119" i="14"/>
  <c r="CJ119" i="14"/>
  <c r="CN119" i="14"/>
  <c r="CF120" i="14"/>
  <c r="CJ120" i="14"/>
  <c r="CN120" i="14"/>
  <c r="CF121" i="14"/>
  <c r="CJ121" i="14"/>
  <c r="CN121" i="14"/>
  <c r="CF122" i="14"/>
  <c r="CJ122" i="14"/>
  <c r="CN122" i="14"/>
  <c r="CF123" i="14"/>
  <c r="CJ123" i="14"/>
  <c r="CN123" i="14"/>
  <c r="CF124" i="14"/>
  <c r="CJ124" i="14"/>
  <c r="CN124" i="14"/>
  <c r="CF125" i="14"/>
  <c r="CJ125" i="14"/>
  <c r="CN125" i="14"/>
  <c r="CF126" i="14"/>
  <c r="CJ126" i="14"/>
  <c r="CN126" i="14"/>
  <c r="CF127" i="14"/>
  <c r="CJ127" i="14"/>
  <c r="CN127" i="14"/>
  <c r="CF128" i="14"/>
  <c r="CJ128" i="14"/>
  <c r="CN128" i="14"/>
  <c r="CF129" i="14"/>
  <c r="CJ129" i="14"/>
  <c r="CN129" i="14"/>
  <c r="CF130" i="14"/>
  <c r="CJ130" i="14"/>
  <c r="CN130" i="14"/>
  <c r="CF131" i="14"/>
  <c r="CJ131" i="14"/>
  <c r="CN131" i="14"/>
  <c r="CF132" i="14"/>
  <c r="CJ132" i="14"/>
  <c r="CN132" i="14"/>
  <c r="CF133" i="14"/>
  <c r="CJ133" i="14"/>
  <c r="CN133" i="14"/>
  <c r="CF134" i="14"/>
  <c r="CJ134" i="14"/>
  <c r="CN134" i="14"/>
  <c r="CF135" i="14"/>
  <c r="CJ135" i="14"/>
  <c r="CN135" i="14"/>
  <c r="CF136" i="14"/>
  <c r="CJ136" i="14"/>
  <c r="CN136" i="14"/>
  <c r="CF137" i="14"/>
  <c r="CJ137" i="14"/>
  <c r="CN137" i="14"/>
  <c r="CF138" i="14"/>
  <c r="CJ138" i="14"/>
  <c r="CN138" i="14"/>
  <c r="CF139" i="14"/>
  <c r="CJ139" i="14"/>
  <c r="CN139" i="14"/>
  <c r="CF140" i="14"/>
  <c r="CJ140" i="14"/>
  <c r="CN140" i="14"/>
  <c r="CF141" i="14"/>
  <c r="CJ141" i="14"/>
  <c r="CN141" i="14"/>
  <c r="CF142" i="14"/>
  <c r="CJ142" i="14"/>
  <c r="CN142" i="14"/>
  <c r="CF143" i="14"/>
  <c r="CJ143" i="14"/>
  <c r="CN143" i="14"/>
  <c r="CF144" i="14"/>
  <c r="CJ144" i="14"/>
  <c r="CN144" i="14"/>
  <c r="CF145" i="14"/>
  <c r="CJ145" i="14"/>
  <c r="CN145" i="14"/>
  <c r="CF146" i="14"/>
  <c r="CJ146" i="14"/>
  <c r="CN146" i="14"/>
  <c r="CF147" i="14"/>
  <c r="CJ147" i="14"/>
  <c r="CN147" i="14"/>
  <c r="CF148" i="14"/>
  <c r="CJ148" i="14"/>
  <c r="CN148" i="14"/>
  <c r="CF149" i="14"/>
  <c r="CJ149" i="14"/>
  <c r="CN149" i="14"/>
  <c r="CO150" i="14"/>
  <c r="CK150" i="14"/>
  <c r="CG150" i="14"/>
  <c r="CH150" i="14"/>
  <c r="CM150" i="14"/>
  <c r="CI151" i="14"/>
  <c r="CN151" i="14"/>
  <c r="CO154" i="14"/>
  <c r="CK154" i="14"/>
  <c r="CG154" i="14"/>
  <c r="CH154" i="14"/>
  <c r="CM154" i="14"/>
  <c r="CI155" i="14"/>
  <c r="CN155" i="14"/>
  <c r="CO158" i="14"/>
  <c r="CK158" i="14"/>
  <c r="CG158" i="14"/>
  <c r="CH158" i="14"/>
  <c r="CM158" i="14"/>
  <c r="CI159" i="14"/>
  <c r="CN159" i="14"/>
  <c r="CJ162" i="14"/>
  <c r="CG100" i="14"/>
  <c r="CK100" i="14"/>
  <c r="CG101" i="14"/>
  <c r="CK101" i="14"/>
  <c r="CG102" i="14"/>
  <c r="CK102" i="14"/>
  <c r="CG103" i="14"/>
  <c r="CK103" i="14"/>
  <c r="CG104" i="14"/>
  <c r="CK104" i="14"/>
  <c r="CG105" i="14"/>
  <c r="CK105" i="14"/>
  <c r="CG106" i="14"/>
  <c r="CK106" i="14"/>
  <c r="CG107" i="14"/>
  <c r="CK107" i="14"/>
  <c r="CG108" i="14"/>
  <c r="CK108" i="14"/>
  <c r="CG109" i="14"/>
  <c r="CK109" i="14"/>
  <c r="CG110" i="14"/>
  <c r="CK110" i="14"/>
  <c r="CG111" i="14"/>
  <c r="CK111" i="14"/>
  <c r="CG112" i="14"/>
  <c r="CK112" i="14"/>
  <c r="CG113" i="14"/>
  <c r="CK113" i="14"/>
  <c r="CG114" i="14"/>
  <c r="CK114" i="14"/>
  <c r="CG115" i="14"/>
  <c r="CK115" i="14"/>
  <c r="CG116" i="14"/>
  <c r="CK116" i="14"/>
  <c r="CG117" i="14"/>
  <c r="CK117" i="14"/>
  <c r="CG118" i="14"/>
  <c r="CK118" i="14"/>
  <c r="CG119" i="14"/>
  <c r="CK119" i="14"/>
  <c r="CG120" i="14"/>
  <c r="CK120" i="14"/>
  <c r="CG121" i="14"/>
  <c r="CK121" i="14"/>
  <c r="CG122" i="14"/>
  <c r="CK122" i="14"/>
  <c r="CG123" i="14"/>
  <c r="CK123" i="14"/>
  <c r="CG124" i="14"/>
  <c r="CK124" i="14"/>
  <c r="CG125" i="14"/>
  <c r="CK125" i="14"/>
  <c r="CG126" i="14"/>
  <c r="CK126" i="14"/>
  <c r="CG127" i="14"/>
  <c r="CK127" i="14"/>
  <c r="CG128" i="14"/>
  <c r="CK128" i="14"/>
  <c r="CG129" i="14"/>
  <c r="CK129" i="14"/>
  <c r="CG130" i="14"/>
  <c r="CK130" i="14"/>
  <c r="CG131" i="14"/>
  <c r="CK131" i="14"/>
  <c r="CG132" i="14"/>
  <c r="CK132" i="14"/>
  <c r="CG133" i="14"/>
  <c r="CK133" i="14"/>
  <c r="CG134" i="14"/>
  <c r="CK134" i="14"/>
  <c r="CG135" i="14"/>
  <c r="CK135" i="14"/>
  <c r="CG136" i="14"/>
  <c r="CK136" i="14"/>
  <c r="CG137" i="14"/>
  <c r="CK137" i="14"/>
  <c r="CG138" i="14"/>
  <c r="CK138" i="14"/>
  <c r="CG139" i="14"/>
  <c r="CK139" i="14"/>
  <c r="CG140" i="14"/>
  <c r="CK140" i="14"/>
  <c r="CG141" i="14"/>
  <c r="CK141" i="14"/>
  <c r="CG142" i="14"/>
  <c r="CK142" i="14"/>
  <c r="CG143" i="14"/>
  <c r="CK143" i="14"/>
  <c r="CG144" i="14"/>
  <c r="CK144" i="14"/>
  <c r="CG145" i="14"/>
  <c r="CK145" i="14"/>
  <c r="CG146" i="14"/>
  <c r="CK146" i="14"/>
  <c r="CG147" i="14"/>
  <c r="CK147" i="14"/>
  <c r="CG148" i="14"/>
  <c r="CK148" i="14"/>
  <c r="CG149" i="14"/>
  <c r="CK149" i="14"/>
  <c r="CN150" i="14"/>
  <c r="CJ151" i="14"/>
  <c r="CP151" i="14"/>
  <c r="CO153" i="14"/>
  <c r="CK153" i="14"/>
  <c r="CG153" i="14"/>
  <c r="CH153" i="14"/>
  <c r="CM153" i="14"/>
  <c r="CI154" i="14"/>
  <c r="CN154" i="14"/>
  <c r="CJ155" i="14"/>
  <c r="CP155" i="14"/>
  <c r="CO157" i="14"/>
  <c r="CK157" i="14"/>
  <c r="CG157" i="14"/>
  <c r="CM157" i="14"/>
  <c r="CI158" i="14"/>
  <c r="CN158" i="14"/>
  <c r="CJ159" i="14"/>
  <c r="CP159" i="14"/>
  <c r="CO161" i="14"/>
  <c r="CK161" i="14"/>
  <c r="CG161" i="14"/>
  <c r="CQ161" i="14"/>
  <c r="CH161" i="14"/>
  <c r="CM161" i="14"/>
  <c r="CL162" i="14"/>
  <c r="CI163" i="14"/>
  <c r="CM163" i="14"/>
  <c r="CQ163" i="14"/>
  <c r="CI164" i="14"/>
  <c r="CM164" i="14"/>
  <c r="CI165" i="14"/>
  <c r="CM165" i="14"/>
  <c r="CQ165" i="14"/>
  <c r="CI166" i="14"/>
  <c r="CM166" i="14"/>
  <c r="CQ166" i="14"/>
  <c r="CM167" i="14"/>
  <c r="CI168" i="14"/>
  <c r="CM168" i="14"/>
  <c r="CM169" i="14"/>
  <c r="CQ169" i="14"/>
  <c r="CI170" i="14"/>
  <c r="CM170" i="14"/>
  <c r="CI171" i="14"/>
  <c r="CM171" i="14"/>
  <c r="CQ171" i="14"/>
  <c r="CI172" i="14"/>
  <c r="CM172" i="14"/>
  <c r="CQ172" i="14"/>
  <c r="CI173" i="14"/>
  <c r="CM173" i="14"/>
  <c r="CI174" i="14"/>
  <c r="CM174" i="14"/>
  <c r="CQ174" i="14"/>
  <c r="CI175" i="14"/>
  <c r="CM175" i="14"/>
  <c r="CQ175" i="14"/>
  <c r="CI176" i="14"/>
  <c r="CM176" i="14"/>
  <c r="CQ176" i="14"/>
  <c r="CI177" i="14"/>
  <c r="CM177" i="14"/>
  <c r="CQ177" i="14"/>
  <c r="CM178" i="14"/>
  <c r="CI179" i="14"/>
  <c r="CM179" i="14"/>
  <c r="AG67" i="21"/>
  <c r="AG52" i="21"/>
  <c r="CF163" i="14"/>
  <c r="CJ163" i="14"/>
  <c r="CN163" i="14"/>
  <c r="CF164" i="14"/>
  <c r="CJ164" i="14"/>
  <c r="CN164" i="14"/>
  <c r="CF165" i="14"/>
  <c r="CJ165" i="14"/>
  <c r="CN165" i="14"/>
  <c r="CF166" i="14"/>
  <c r="CJ166" i="14"/>
  <c r="CN166" i="14"/>
  <c r="CF167" i="14"/>
  <c r="CJ167" i="14"/>
  <c r="CN167" i="14"/>
  <c r="CF168" i="14"/>
  <c r="CJ168" i="14"/>
  <c r="CN168" i="14"/>
  <c r="CF169" i="14"/>
  <c r="CJ169" i="14"/>
  <c r="CN169" i="14"/>
  <c r="CF170" i="14"/>
  <c r="CJ170" i="14"/>
  <c r="CN170" i="14"/>
  <c r="CF171" i="14"/>
  <c r="CJ171" i="14"/>
  <c r="CN171" i="14"/>
  <c r="CF172" i="14"/>
  <c r="CJ172" i="14"/>
  <c r="CN172" i="14"/>
  <c r="CF173" i="14"/>
  <c r="CJ173" i="14"/>
  <c r="CN173" i="14"/>
  <c r="CF174" i="14"/>
  <c r="CJ174" i="14"/>
  <c r="CN174" i="14"/>
  <c r="CF175" i="14"/>
  <c r="CJ175" i="14"/>
  <c r="CN175" i="14"/>
  <c r="CF176" i="14"/>
  <c r="CJ176" i="14"/>
  <c r="CN176" i="14"/>
  <c r="CF177" i="14"/>
  <c r="CJ177" i="14"/>
  <c r="CN177" i="14"/>
  <c r="CF178" i="14"/>
  <c r="CJ178" i="14"/>
  <c r="CN178" i="14"/>
  <c r="CF179" i="14"/>
  <c r="CJ179" i="14"/>
  <c r="CN179" i="14"/>
  <c r="CN180" i="14"/>
  <c r="CJ180" i="14"/>
  <c r="CF180" i="14"/>
  <c r="CQ180" i="14"/>
  <c r="CM180" i="14"/>
  <c r="CI180" i="14"/>
  <c r="CG180" i="14"/>
  <c r="CO180" i="14"/>
  <c r="CG163" i="14"/>
  <c r="CK163" i="14"/>
  <c r="CG164" i="14"/>
  <c r="CK164" i="14"/>
  <c r="CG165" i="14"/>
  <c r="CK165" i="14"/>
  <c r="CG166" i="14"/>
  <c r="CK166" i="14"/>
  <c r="CG167" i="14"/>
  <c r="CK167" i="14"/>
  <c r="CG168" i="14"/>
  <c r="CK168" i="14"/>
  <c r="CG169" i="14"/>
  <c r="CK169" i="14"/>
  <c r="CG170" i="14"/>
  <c r="CK170" i="14"/>
  <c r="CG171" i="14"/>
  <c r="CK171" i="14"/>
  <c r="CG172" i="14"/>
  <c r="CK172" i="14"/>
  <c r="CG173" i="14"/>
  <c r="CK173" i="14"/>
  <c r="CG174" i="14"/>
  <c r="CK174" i="14"/>
  <c r="CG175" i="14"/>
  <c r="CK175" i="14"/>
  <c r="CG176" i="14"/>
  <c r="CK176" i="14"/>
  <c r="CG177" i="14"/>
  <c r="CK177" i="14"/>
  <c r="CG178" i="14"/>
  <c r="CK178" i="14"/>
  <c r="CG179" i="14"/>
  <c r="CK179" i="14"/>
  <c r="CH180" i="14"/>
  <c r="CP180" i="14"/>
  <c r="AE42" i="20"/>
  <c r="AE35" i="22"/>
  <c r="AE61" i="22" s="1"/>
  <c r="AD29" i="24" s="1"/>
  <c r="AG27" i="20"/>
  <c r="AH26" i="20"/>
  <c r="AH27" i="20" s="1"/>
  <c r="AH36" i="20"/>
  <c r="AF47" i="26"/>
  <c r="AD47" i="26" s="1"/>
  <c r="AF45" i="26"/>
  <c r="AD45" i="26" s="1"/>
  <c r="AF43" i="26"/>
  <c r="AD43" i="26" s="1"/>
  <c r="AF34" i="26"/>
  <c r="AF32" i="26"/>
  <c r="AF30" i="26"/>
  <c r="AD30" i="26" s="1"/>
  <c r="AF29" i="26"/>
  <c r="AD29" i="26" s="1"/>
  <c r="AF31" i="26"/>
  <c r="AD31" i="26" s="1"/>
  <c r="AF46" i="26"/>
  <c r="AF44" i="26"/>
  <c r="AF42" i="26"/>
  <c r="AF33" i="26"/>
  <c r="AF27" i="26"/>
  <c r="AD27" i="26" s="1"/>
  <c r="AF28" i="26"/>
  <c r="AD28" i="26" s="1"/>
  <c r="CI181" i="14"/>
  <c r="CM181" i="14"/>
  <c r="CM182" i="14"/>
  <c r="CI183" i="14"/>
  <c r="CM183" i="14"/>
  <c r="CI184" i="14"/>
  <c r="CM184" i="14"/>
  <c r="CQ184" i="14"/>
  <c r="CI185" i="14"/>
  <c r="CM185" i="14"/>
  <c r="CQ185" i="14"/>
  <c r="CI186" i="14"/>
  <c r="CM186" i="14"/>
  <c r="CQ186" i="14"/>
  <c r="CI187" i="14"/>
  <c r="CM187" i="14"/>
  <c r="CQ187" i="14"/>
  <c r="CI188" i="14"/>
  <c r="CM188" i="14"/>
  <c r="CQ188" i="14"/>
  <c r="CI189" i="14"/>
  <c r="CM189" i="14"/>
  <c r="CI190" i="14"/>
  <c r="CM190" i="14"/>
  <c r="CQ190" i="14"/>
  <c r="CM191" i="14"/>
  <c r="CQ191" i="14"/>
  <c r="CI192" i="14"/>
  <c r="CM192" i="14"/>
  <c r="CQ192" i="14"/>
  <c r="CI193" i="14"/>
  <c r="CM193" i="14"/>
  <c r="CM194" i="14"/>
  <c r="CI195" i="14"/>
  <c r="CM195" i="14"/>
  <c r="CQ195" i="14"/>
  <c r="CI196" i="14"/>
  <c r="CM196" i="14"/>
  <c r="CQ196" i="14"/>
  <c r="CM197" i="14"/>
  <c r="CI198" i="14"/>
  <c r="CM198" i="14"/>
  <c r="CI199" i="14"/>
  <c r="CM199" i="14"/>
  <c r="CQ199" i="14"/>
  <c r="CM200" i="14"/>
  <c r="CI201" i="14"/>
  <c r="CM201" i="14"/>
  <c r="CM202" i="14"/>
  <c r="CI203" i="14"/>
  <c r="CM203" i="14"/>
  <c r="CQ203" i="14"/>
  <c r="CI204" i="14"/>
  <c r="CM204" i="14"/>
  <c r="CQ204" i="14"/>
  <c r="CI205" i="14"/>
  <c r="CM205" i="14"/>
  <c r="CQ205" i="14"/>
  <c r="CI206" i="14"/>
  <c r="CM206" i="14"/>
  <c r="CI207" i="14"/>
  <c r="CM207" i="14"/>
  <c r="CQ207" i="14"/>
  <c r="CI208" i="14"/>
  <c r="CM208" i="14"/>
  <c r="CI209" i="14"/>
  <c r="CM209" i="14"/>
  <c r="CM210" i="14"/>
  <c r="CI211" i="14"/>
  <c r="CM211" i="14"/>
  <c r="CM212" i="14"/>
  <c r="CI213" i="14"/>
  <c r="CM213" i="14"/>
  <c r="CQ213" i="14"/>
  <c r="CM214" i="14"/>
  <c r="CM215" i="14"/>
  <c r="CI216" i="14"/>
  <c r="CM216" i="14"/>
  <c r="CI217" i="14"/>
  <c r="CM217" i="14"/>
  <c r="CM218" i="14"/>
  <c r="CI219" i="14"/>
  <c r="CM219" i="14"/>
  <c r="CQ219" i="14"/>
  <c r="CI220" i="14"/>
  <c r="CM220" i="14"/>
  <c r="CM221" i="14"/>
  <c r="CI222" i="14"/>
  <c r="CM222" i="14"/>
  <c r="CI223" i="14"/>
  <c r="CM223" i="14"/>
  <c r="CQ223" i="14"/>
  <c r="CM224" i="14"/>
  <c r="CI225" i="14"/>
  <c r="CM225" i="14"/>
  <c r="CQ225" i="14"/>
  <c r="CI226" i="14"/>
  <c r="CM226" i="14"/>
  <c r="CM227" i="14"/>
  <c r="CM228" i="14"/>
  <c r="CF229" i="14"/>
  <c r="CL229" i="14"/>
  <c r="CO230" i="14"/>
  <c r="CK230" i="14"/>
  <c r="CG230" i="14"/>
  <c r="CN230" i="14"/>
  <c r="CH230" i="14"/>
  <c r="CM230" i="14"/>
  <c r="CF181" i="14"/>
  <c r="CJ181" i="14"/>
  <c r="CF182" i="14"/>
  <c r="CJ182" i="14"/>
  <c r="CF183" i="14"/>
  <c r="CJ183" i="14"/>
  <c r="CF184" i="14"/>
  <c r="CJ184" i="14"/>
  <c r="CF185" i="14"/>
  <c r="CJ185" i="14"/>
  <c r="CF186" i="14"/>
  <c r="CJ186" i="14"/>
  <c r="CF187" i="14"/>
  <c r="CJ187" i="14"/>
  <c r="CF188" i="14"/>
  <c r="CJ188" i="14"/>
  <c r="CF189" i="14"/>
  <c r="CJ189" i="14"/>
  <c r="CF190" i="14"/>
  <c r="CJ190" i="14"/>
  <c r="CF191" i="14"/>
  <c r="CJ191" i="14"/>
  <c r="CF192" i="14"/>
  <c r="CJ192" i="14"/>
  <c r="CF193" i="14"/>
  <c r="CJ193" i="14"/>
  <c r="CF194" i="14"/>
  <c r="CJ194" i="14"/>
  <c r="CF195" i="14"/>
  <c r="CJ195" i="14"/>
  <c r="CF196" i="14"/>
  <c r="CJ196" i="14"/>
  <c r="CF197" i="14"/>
  <c r="CJ197" i="14"/>
  <c r="CF198" i="14"/>
  <c r="CJ198" i="14"/>
  <c r="CF199" i="14"/>
  <c r="CJ199" i="14"/>
  <c r="CF200" i="14"/>
  <c r="CJ200" i="14"/>
  <c r="CF201" i="14"/>
  <c r="CJ201" i="14"/>
  <c r="CF202" i="14"/>
  <c r="CJ202" i="14"/>
  <c r="CF203" i="14"/>
  <c r="CJ203" i="14"/>
  <c r="CF204" i="14"/>
  <c r="CJ204" i="14"/>
  <c r="CF205" i="14"/>
  <c r="CJ205" i="14"/>
  <c r="CF206" i="14"/>
  <c r="CJ206" i="14"/>
  <c r="CF207" i="14"/>
  <c r="CJ207" i="14"/>
  <c r="CF208" i="14"/>
  <c r="CJ208" i="14"/>
  <c r="CF209" i="14"/>
  <c r="CJ209" i="14"/>
  <c r="CF210" i="14"/>
  <c r="CJ210" i="14"/>
  <c r="CF211" i="14"/>
  <c r="CJ211" i="14"/>
  <c r="CF212" i="14"/>
  <c r="CJ212" i="14"/>
  <c r="CF213" i="14"/>
  <c r="CJ213" i="14"/>
  <c r="CF214" i="14"/>
  <c r="CJ214" i="14"/>
  <c r="CF215" i="14"/>
  <c r="CJ215" i="14"/>
  <c r="CF216" i="14"/>
  <c r="CJ216" i="14"/>
  <c r="CF217" i="14"/>
  <c r="CJ217" i="14"/>
  <c r="CF218" i="14"/>
  <c r="CJ218" i="14"/>
  <c r="CF219" i="14"/>
  <c r="CJ219" i="14"/>
  <c r="CF220" i="14"/>
  <c r="CJ220" i="14"/>
  <c r="CF221" i="14"/>
  <c r="CJ221" i="14"/>
  <c r="CF222" i="14"/>
  <c r="CJ222" i="14"/>
  <c r="CF223" i="14"/>
  <c r="CJ223" i="14"/>
  <c r="CF224" i="14"/>
  <c r="CJ224" i="14"/>
  <c r="CF225" i="14"/>
  <c r="CJ225" i="14"/>
  <c r="CF226" i="14"/>
  <c r="CJ226" i="14"/>
  <c r="CF227" i="14"/>
  <c r="CJ227" i="14"/>
  <c r="CF228" i="14"/>
  <c r="CJ228" i="14"/>
  <c r="CO229" i="14"/>
  <c r="CK229" i="14"/>
  <c r="CG229" i="14"/>
  <c r="CH229" i="14"/>
  <c r="CM229" i="14"/>
  <c r="AE42" i="16"/>
  <c r="AE37" i="16"/>
  <c r="AE33" i="16"/>
  <c r="AE27" i="16"/>
  <c r="AE47" i="16"/>
  <c r="AY42" i="18"/>
  <c r="BF43" i="19"/>
  <c r="BG43" i="19" s="1"/>
  <c r="AU43" i="19"/>
  <c r="AE48" i="16"/>
  <c r="AE38" i="16"/>
  <c r="AD43" i="17"/>
  <c r="BG40" i="19"/>
  <c r="AF28" i="20"/>
  <c r="AF27" i="20"/>
  <c r="AE29" i="21"/>
  <c r="AD42" i="26"/>
  <c r="AD44" i="26"/>
  <c r="AD46" i="26"/>
  <c r="CF231" i="14"/>
  <c r="CJ231" i="14"/>
  <c r="CN231" i="14"/>
  <c r="CF232" i="14"/>
  <c r="CJ232" i="14"/>
  <c r="CN232" i="14"/>
  <c r="CF233" i="14"/>
  <c r="CJ233" i="14"/>
  <c r="CN233" i="14"/>
  <c r="CF234" i="14"/>
  <c r="CJ234" i="14"/>
  <c r="CN234" i="14"/>
  <c r="CF235" i="14"/>
  <c r="CJ235" i="14"/>
  <c r="CN235" i="14"/>
  <c r="CF236" i="14"/>
  <c r="CJ236" i="14"/>
  <c r="CN236" i="14"/>
  <c r="AE35" i="16"/>
  <c r="AE43" i="16"/>
  <c r="AP39" i="18"/>
  <c r="AW39" i="18"/>
  <c r="AY39" i="18" s="1"/>
  <c r="AU40" i="19"/>
  <c r="AG35" i="20" s="1"/>
  <c r="AH35" i="20" s="1"/>
  <c r="AG28" i="20"/>
  <c r="AG37" i="20"/>
  <c r="AG36" i="20"/>
  <c r="CG231" i="14"/>
  <c r="CK231" i="14"/>
  <c r="CG232" i="14"/>
  <c r="CK232" i="14"/>
  <c r="CG233" i="14"/>
  <c r="CK233" i="14"/>
  <c r="CG234" i="14"/>
  <c r="CK234" i="14"/>
  <c r="CG235" i="14"/>
  <c r="CK235" i="14"/>
  <c r="CG236" i="14"/>
  <c r="CK236" i="14"/>
  <c r="AD27" i="17"/>
  <c r="BA43" i="19"/>
  <c r="BE46" i="19"/>
  <c r="BG46" i="19" s="1"/>
  <c r="AE51" i="21"/>
  <c r="AE67" i="21"/>
  <c r="AI28" i="26"/>
  <c r="AF36" i="20"/>
  <c r="AK30" i="26"/>
  <c r="AI30" i="26" s="1"/>
  <c r="AK33" i="26"/>
  <c r="AK43" i="26"/>
  <c r="AI43" i="26" s="1"/>
  <c r="AK45" i="26"/>
  <c r="AI45" i="26" s="1"/>
  <c r="AK47" i="26"/>
  <c r="AI47" i="26" s="1"/>
  <c r="AK29" i="26"/>
  <c r="AI29" i="26" s="1"/>
  <c r="AE50" i="22" l="1"/>
  <c r="AD26" i="24" s="1"/>
  <c r="AD35" i="25"/>
  <c r="AE55" i="22"/>
  <c r="AD27" i="24" s="1"/>
  <c r="CB71" i="14"/>
  <c r="CH71" i="14"/>
  <c r="BO228" i="14"/>
  <c r="BP228" i="14"/>
  <c r="BO210" i="14"/>
  <c r="BP210" i="14"/>
  <c r="CB173" i="14"/>
  <c r="CH173" i="14"/>
  <c r="BP190" i="14"/>
  <c r="BO190" i="14"/>
  <c r="CB93" i="14"/>
  <c r="CH93" i="14"/>
  <c r="CI93" i="14"/>
  <c r="CP60" i="14"/>
  <c r="CQ60" i="14"/>
  <c r="CP64" i="14"/>
  <c r="CQ64" i="14"/>
  <c r="CQ47" i="14"/>
  <c r="CP47" i="14"/>
  <c r="CB85" i="14"/>
  <c r="CH85" i="14"/>
  <c r="CI85" i="14"/>
  <c r="CP209" i="14"/>
  <c r="CQ209" i="14"/>
  <c r="CB31" i="14"/>
  <c r="CI31" i="14"/>
  <c r="CH31" i="14"/>
  <c r="CB108" i="14"/>
  <c r="CI108" i="14"/>
  <c r="BP197" i="14"/>
  <c r="BO197" i="14"/>
  <c r="CB44" i="14"/>
  <c r="CI44" i="14"/>
  <c r="CB86" i="14"/>
  <c r="CI86" i="14"/>
  <c r="CP206" i="14"/>
  <c r="CQ206" i="14"/>
  <c r="BO222" i="14"/>
  <c r="BP222" i="14"/>
  <c r="CI71" i="14"/>
  <c r="CH86" i="14"/>
  <c r="CB179" i="14"/>
  <c r="CH179" i="14"/>
  <c r="CQ230" i="14"/>
  <c r="CP230" i="14"/>
  <c r="CH44" i="14"/>
  <c r="CH60" i="14"/>
  <c r="CQ32" i="14"/>
  <c r="CP32" i="14"/>
  <c r="CH84" i="14"/>
  <c r="BO220" i="14"/>
  <c r="BP220" i="14"/>
  <c r="CQ198" i="14"/>
  <c r="CQ183" i="14"/>
  <c r="CQ164" i="14"/>
  <c r="CH72" i="14"/>
  <c r="CH51" i="14"/>
  <c r="BP83" i="14"/>
  <c r="CH36" i="14"/>
  <c r="BP218" i="14"/>
  <c r="BO226" i="14"/>
  <c r="BP226" i="14"/>
  <c r="CH32" i="14"/>
  <c r="BO205" i="14"/>
  <c r="BP205" i="14"/>
  <c r="CI150" i="14"/>
  <c r="CH151" i="14"/>
  <c r="CQ88" i="14"/>
  <c r="CQ70" i="14"/>
  <c r="CI68" i="14"/>
  <c r="CI84" i="14"/>
  <c r="CI36" i="14"/>
  <c r="CH127" i="14"/>
  <c r="CH169" i="14"/>
  <c r="CI145" i="14"/>
  <c r="CH135" i="14"/>
  <c r="BO202" i="14"/>
  <c r="BP48" i="14"/>
  <c r="BO224" i="14"/>
  <c r="BP224" i="14"/>
  <c r="BO214" i="14"/>
  <c r="BP214" i="14"/>
  <c r="BO212" i="14"/>
  <c r="BP212" i="14"/>
  <c r="CB224" i="14"/>
  <c r="CH224" i="14"/>
  <c r="CB210" i="14"/>
  <c r="CH210" i="14"/>
  <c r="CB189" i="14"/>
  <c r="CH189" i="14"/>
  <c r="CB106" i="14"/>
  <c r="CI106" i="14"/>
  <c r="CH106" i="14"/>
  <c r="BP53" i="14"/>
  <c r="BO53" i="14"/>
  <c r="CB42" i="14"/>
  <c r="CH42" i="14"/>
  <c r="BP215" i="14"/>
  <c r="BO215" i="14"/>
  <c r="CB181" i="14"/>
  <c r="CH181" i="14"/>
  <c r="CB120" i="14"/>
  <c r="CI120" i="14"/>
  <c r="BP71" i="14"/>
  <c r="BO71" i="14"/>
  <c r="CB54" i="14"/>
  <c r="CH54" i="14"/>
  <c r="AU239" i="14"/>
  <c r="AU238" i="14" s="1"/>
  <c r="BP31" i="14"/>
  <c r="BO31" i="14"/>
  <c r="CI210" i="14"/>
  <c r="CH157" i="14"/>
  <c r="CH47" i="14"/>
  <c r="CH116" i="14"/>
  <c r="CI233" i="14"/>
  <c r="CI157" i="14"/>
  <c r="CB216" i="14"/>
  <c r="CH216" i="14"/>
  <c r="CB208" i="14"/>
  <c r="CH208" i="14"/>
  <c r="CB217" i="14"/>
  <c r="CH217" i="14"/>
  <c r="BP207" i="14"/>
  <c r="BO207" i="14"/>
  <c r="BP194" i="14"/>
  <c r="BO194" i="14"/>
  <c r="BP217" i="14"/>
  <c r="BO217" i="14"/>
  <c r="BO168" i="14"/>
  <c r="BP168" i="14"/>
  <c r="CB144" i="14"/>
  <c r="CI144" i="14"/>
  <c r="BP61" i="14"/>
  <c r="BO61" i="14"/>
  <c r="BP55" i="14"/>
  <c r="BO55" i="14"/>
  <c r="CB46" i="14"/>
  <c r="CH46" i="14"/>
  <c r="CB227" i="14"/>
  <c r="CH227" i="14"/>
  <c r="CB110" i="14"/>
  <c r="CI110" i="14"/>
  <c r="CB104" i="14"/>
  <c r="CI104" i="14"/>
  <c r="BP181" i="14"/>
  <c r="BO181" i="14"/>
  <c r="CB117" i="14"/>
  <c r="CH117" i="14"/>
  <c r="BP199" i="14"/>
  <c r="BO199" i="14"/>
  <c r="BO102" i="14"/>
  <c r="BP102" i="14"/>
  <c r="BP221" i="14"/>
  <c r="BO221" i="14"/>
  <c r="BO116" i="14"/>
  <c r="BP116" i="14"/>
  <c r="BP51" i="14"/>
  <c r="BO51" i="14"/>
  <c r="BO40" i="14"/>
  <c r="BP40" i="14"/>
  <c r="CB34" i="14"/>
  <c r="CH34" i="14"/>
  <c r="BO179" i="14"/>
  <c r="BP179" i="14"/>
  <c r="BP59" i="14"/>
  <c r="BO59" i="14"/>
  <c r="BP47" i="14"/>
  <c r="BO47" i="14"/>
  <c r="BP43" i="14"/>
  <c r="BO43" i="14"/>
  <c r="CI80" i="14"/>
  <c r="CB218" i="14"/>
  <c r="CH218" i="14"/>
  <c r="CB193" i="14"/>
  <c r="CH193" i="14"/>
  <c r="CB57" i="14"/>
  <c r="CH57" i="14"/>
  <c r="BP225" i="14"/>
  <c r="BO225" i="14"/>
  <c r="CB138" i="14"/>
  <c r="CH138" i="14"/>
  <c r="CI138" i="14"/>
  <c r="CB146" i="14"/>
  <c r="CI146" i="14"/>
  <c r="CH146" i="14"/>
  <c r="BP57" i="14"/>
  <c r="BO57" i="14"/>
  <c r="BP34" i="14"/>
  <c r="BO34" i="14"/>
  <c r="CI83" i="14"/>
  <c r="CH80" i="14"/>
  <c r="CI89" i="14"/>
  <c r="CI191" i="14"/>
  <c r="CH83" i="14"/>
  <c r="CI79" i="14"/>
  <c r="CQ80" i="14"/>
  <c r="CI64" i="14"/>
  <c r="CH89" i="14"/>
  <c r="CI82" i="14"/>
  <c r="CI78" i="14"/>
  <c r="CI74" i="14"/>
  <c r="CP70" i="14"/>
  <c r="CH64" i="14"/>
  <c r="CP72" i="14"/>
  <c r="CP68" i="14"/>
  <c r="CI77" i="14"/>
  <c r="CQ84" i="14"/>
  <c r="CP178" i="14"/>
  <c r="CH144" i="14"/>
  <c r="CI40" i="14"/>
  <c r="CH198" i="14"/>
  <c r="CP116" i="14"/>
  <c r="CI46" i="14"/>
  <c r="CH199" i="14"/>
  <c r="CP150" i="14"/>
  <c r="CP56" i="14"/>
  <c r="CI35" i="14"/>
  <c r="CH202" i="14"/>
  <c r="CP202" i="14"/>
  <c r="CI57" i="14"/>
  <c r="CQ157" i="14"/>
  <c r="CI148" i="14"/>
  <c r="CH145" i="14"/>
  <c r="CI43" i="14"/>
  <c r="CB226" i="14"/>
  <c r="CH226" i="14"/>
  <c r="CB222" i="14"/>
  <c r="CH222" i="14"/>
  <c r="CB214" i="14"/>
  <c r="CH214" i="14"/>
  <c r="CB200" i="14"/>
  <c r="CH200" i="14"/>
  <c r="CB197" i="14"/>
  <c r="CH197" i="14"/>
  <c r="BP206" i="14"/>
  <c r="BO206" i="14"/>
  <c r="CB170" i="14"/>
  <c r="CH170" i="14"/>
  <c r="BP201" i="14"/>
  <c r="BO201" i="14"/>
  <c r="CB221" i="14"/>
  <c r="CH221" i="14"/>
  <c r="CH110" i="14"/>
  <c r="CB95" i="14"/>
  <c r="CH95" i="14"/>
  <c r="BP54" i="14"/>
  <c r="BO54" i="14"/>
  <c r="CB50" i="14"/>
  <c r="CH50" i="14"/>
  <c r="CB45" i="14"/>
  <c r="CH45" i="14"/>
  <c r="CB211" i="14"/>
  <c r="CH211" i="14"/>
  <c r="CB153" i="14"/>
  <c r="CI153" i="14"/>
  <c r="BO72" i="14"/>
  <c r="BP72" i="14"/>
  <c r="CB33" i="14"/>
  <c r="CH33" i="14"/>
  <c r="BO178" i="14"/>
  <c r="BP178" i="14"/>
  <c r="CP118" i="14"/>
  <c r="BO92" i="14"/>
  <c r="BP92" i="14"/>
  <c r="CB62" i="14"/>
  <c r="CH62" i="14"/>
  <c r="BP33" i="14"/>
  <c r="BO33" i="14"/>
  <c r="BP223" i="14"/>
  <c r="BO223" i="14"/>
  <c r="BP183" i="14"/>
  <c r="BO183" i="14"/>
  <c r="BO74" i="14"/>
  <c r="BP74" i="14"/>
  <c r="CH183" i="14"/>
  <c r="CB103" i="14"/>
  <c r="CI103" i="14"/>
  <c r="CB228" i="14"/>
  <c r="CH228" i="14"/>
  <c r="BP196" i="14"/>
  <c r="BO196" i="14"/>
  <c r="BP227" i="14"/>
  <c r="BO227" i="14"/>
  <c r="BP79" i="14"/>
  <c r="BO79" i="14"/>
  <c r="CB134" i="14"/>
  <c r="CI134" i="14"/>
  <c r="BO106" i="14"/>
  <c r="BP106" i="14"/>
  <c r="BO89" i="14"/>
  <c r="BP89" i="14"/>
  <c r="CB147" i="14"/>
  <c r="CH147" i="14"/>
  <c r="BP67" i="14"/>
  <c r="BO67" i="14"/>
  <c r="CI218" i="14"/>
  <c r="CI202" i="14"/>
  <c r="CI169" i="14"/>
  <c r="CI228" i="14"/>
  <c r="CI224" i="14"/>
  <c r="CI178" i="14"/>
  <c r="CH79" i="14"/>
  <c r="CI88" i="14"/>
  <c r="CH82" i="14"/>
  <c r="CH78" i="14"/>
  <c r="CI70" i="14"/>
  <c r="CH68" i="14"/>
  <c r="CI72" i="14"/>
  <c r="CH77" i="14"/>
  <c r="CH191" i="14"/>
  <c r="CH178" i="14"/>
  <c r="CH120" i="14"/>
  <c r="CH232" i="14"/>
  <c r="CI56" i="14"/>
  <c r="CH35" i="14"/>
  <c r="CI54" i="14"/>
  <c r="CH233" i="14"/>
  <c r="CH148" i="14"/>
  <c r="CI47" i="14"/>
  <c r="CP40" i="14"/>
  <c r="CB231" i="14"/>
  <c r="CH231" i="14"/>
  <c r="CI231" i="14"/>
  <c r="CB220" i="14"/>
  <c r="CH220" i="14"/>
  <c r="CB212" i="14"/>
  <c r="CH212" i="14"/>
  <c r="BP219" i="14"/>
  <c r="BO219" i="14"/>
  <c r="BP209" i="14"/>
  <c r="BO209" i="14"/>
  <c r="CB201" i="14"/>
  <c r="CH201" i="14"/>
  <c r="CB215" i="14"/>
  <c r="CH215" i="14"/>
  <c r="CB194" i="14"/>
  <c r="CH194" i="14"/>
  <c r="BP211" i="14"/>
  <c r="BO211" i="14"/>
  <c r="CB182" i="14"/>
  <c r="CH182" i="14"/>
  <c r="BO170" i="14"/>
  <c r="BP170" i="14"/>
  <c r="CB149" i="14"/>
  <c r="CH149" i="14"/>
  <c r="CB102" i="14"/>
  <c r="CI102" i="14"/>
  <c r="CH102" i="14"/>
  <c r="CB92" i="14"/>
  <c r="CI92" i="14"/>
  <c r="BP81" i="14"/>
  <c r="BO81" i="14"/>
  <c r="BP65" i="14"/>
  <c r="BO65" i="14"/>
  <c r="CB58" i="14"/>
  <c r="CH58" i="14"/>
  <c r="CB139" i="14"/>
  <c r="CH139" i="14"/>
  <c r="CB128" i="14"/>
  <c r="CI128" i="14"/>
  <c r="CB141" i="14"/>
  <c r="CH141" i="14"/>
  <c r="BO78" i="14"/>
  <c r="BP78" i="14"/>
  <c r="BO144" i="14"/>
  <c r="BP144" i="14"/>
  <c r="BO149" i="14"/>
  <c r="BP149" i="14"/>
  <c r="CB167" i="14"/>
  <c r="CH167" i="14"/>
  <c r="BP73" i="14"/>
  <c r="BO73" i="14"/>
  <c r="BP50" i="14"/>
  <c r="BO50" i="14"/>
  <c r="BP45" i="14"/>
  <c r="BO45" i="14"/>
  <c r="CH40" i="14"/>
  <c r="BP58" i="14"/>
  <c r="BO58" i="14"/>
  <c r="BP46" i="14"/>
  <c r="BO46" i="14"/>
  <c r="BP42" i="14"/>
  <c r="BO42" i="14"/>
  <c r="BP75" i="14"/>
  <c r="BO75" i="14"/>
  <c r="BV238" i="14"/>
  <c r="AE26" i="12"/>
  <c r="AD27" i="12"/>
  <c r="AE27" i="21" s="1"/>
  <c r="AE38" i="21" s="1"/>
  <c r="AD26" i="23" s="1"/>
  <c r="AD65" i="21"/>
  <c r="AH35" i="25"/>
  <c r="CB241" i="14"/>
  <c r="CB238" i="14" s="1"/>
  <c r="AD77" i="22"/>
  <c r="AD78" i="22" s="1"/>
  <c r="AD57" i="21"/>
  <c r="BU239" i="14"/>
  <c r="AF85" i="22"/>
  <c r="AF56" i="22"/>
  <c r="AF55" i="22" s="1"/>
  <c r="AE27" i="24" s="1"/>
  <c r="AD34" i="17"/>
  <c r="AD32" i="17"/>
  <c r="AD31" i="25"/>
  <c r="AD33" i="17"/>
  <c r="AD39" i="17"/>
  <c r="AG42" i="20"/>
  <c r="AE41" i="21"/>
  <c r="AD29" i="23" s="1"/>
  <c r="AE40" i="16"/>
  <c r="AE45" i="16"/>
  <c r="BZ238" i="14"/>
  <c r="BU241" i="14"/>
  <c r="BT238" i="14"/>
  <c r="BY238" i="14"/>
  <c r="AE26" i="24"/>
  <c r="AE34" i="17"/>
  <c r="AE32" i="17"/>
  <c r="AH31" i="25"/>
  <c r="AE39" i="17"/>
  <c r="AE33" i="17"/>
  <c r="AF35" i="22"/>
  <c r="AF61" i="22" s="1"/>
  <c r="AE29" i="24" s="1"/>
  <c r="AF42" i="20"/>
  <c r="AF29" i="21"/>
  <c r="AF41" i="21" s="1"/>
  <c r="AE29" i="23" s="1"/>
  <c r="BU240" i="14"/>
  <c r="CA238" i="14"/>
  <c r="BX238" i="14"/>
  <c r="CC238" i="14"/>
  <c r="AD32" i="24" l="1"/>
  <c r="AD34" i="24" s="1"/>
  <c r="CQ93" i="14"/>
  <c r="CP93" i="14"/>
  <c r="CP173" i="14"/>
  <c r="CQ173" i="14"/>
  <c r="CP179" i="14"/>
  <c r="CQ179" i="14"/>
  <c r="CP86" i="14"/>
  <c r="CQ86" i="14"/>
  <c r="CQ44" i="14"/>
  <c r="CP44" i="14"/>
  <c r="CQ108" i="14"/>
  <c r="CP108" i="14"/>
  <c r="CP85" i="14"/>
  <c r="CQ85" i="14"/>
  <c r="CP31" i="14"/>
  <c r="CQ31" i="14"/>
  <c r="CP71" i="14"/>
  <c r="CQ71" i="14"/>
  <c r="CP182" i="14"/>
  <c r="CQ182" i="14"/>
  <c r="CP147" i="14"/>
  <c r="CQ147" i="14"/>
  <c r="CP103" i="14"/>
  <c r="CQ103" i="14"/>
  <c r="CP50" i="14"/>
  <c r="CQ50" i="14"/>
  <c r="CP218" i="14"/>
  <c r="CQ218" i="14"/>
  <c r="CQ128" i="14"/>
  <c r="CP128" i="14"/>
  <c r="CP58" i="14"/>
  <c r="CQ58" i="14"/>
  <c r="CP200" i="14"/>
  <c r="CQ200" i="14"/>
  <c r="CP222" i="14"/>
  <c r="CQ222" i="14"/>
  <c r="CQ146" i="14"/>
  <c r="CP146" i="14"/>
  <c r="CP117" i="14"/>
  <c r="CQ117" i="14"/>
  <c r="CQ104" i="14"/>
  <c r="CP104" i="14"/>
  <c r="CP227" i="14"/>
  <c r="CQ227" i="14"/>
  <c r="CQ144" i="14"/>
  <c r="CP144" i="14"/>
  <c r="CP208" i="14"/>
  <c r="CQ208" i="14"/>
  <c r="CQ106" i="14"/>
  <c r="CP106" i="14"/>
  <c r="CP210" i="14"/>
  <c r="CQ210" i="14"/>
  <c r="CQ194" i="14"/>
  <c r="CP194" i="14"/>
  <c r="CP201" i="14"/>
  <c r="CQ201" i="14"/>
  <c r="CP220" i="14"/>
  <c r="CQ220" i="14"/>
  <c r="CP211" i="14"/>
  <c r="CQ211" i="14"/>
  <c r="CP95" i="14"/>
  <c r="CQ95" i="14"/>
  <c r="CQ57" i="14"/>
  <c r="CP57" i="14"/>
  <c r="CQ102" i="14"/>
  <c r="CP102" i="14"/>
  <c r="CP215" i="14"/>
  <c r="CQ215" i="14"/>
  <c r="CP212" i="14"/>
  <c r="CQ212" i="14"/>
  <c r="CQ134" i="14"/>
  <c r="CP134" i="14"/>
  <c r="CP228" i="14"/>
  <c r="CQ228" i="14"/>
  <c r="CQ33" i="14"/>
  <c r="CP33" i="14"/>
  <c r="CP153" i="14"/>
  <c r="CQ153" i="14"/>
  <c r="CQ45" i="14"/>
  <c r="CP45" i="14"/>
  <c r="CP193" i="14"/>
  <c r="CQ193" i="14"/>
  <c r="CQ54" i="14"/>
  <c r="CP54" i="14"/>
  <c r="CQ120" i="14"/>
  <c r="CP120" i="14"/>
  <c r="CP149" i="14"/>
  <c r="CQ149" i="14"/>
  <c r="CQ138" i="14"/>
  <c r="CP138" i="14"/>
  <c r="CP181" i="14"/>
  <c r="CQ181" i="14"/>
  <c r="CQ42" i="14"/>
  <c r="CP42" i="14"/>
  <c r="AE32" i="24"/>
  <c r="AE34" i="24" s="1"/>
  <c r="CP167" i="14"/>
  <c r="CQ167" i="14"/>
  <c r="CQ141" i="14"/>
  <c r="CP141" i="14"/>
  <c r="CQ139" i="14"/>
  <c r="CP139" i="14"/>
  <c r="CQ92" i="14"/>
  <c r="CP92" i="14"/>
  <c r="CQ231" i="14"/>
  <c r="CP231" i="14"/>
  <c r="CP62" i="14"/>
  <c r="CQ62" i="14"/>
  <c r="CP221" i="14"/>
  <c r="CQ221" i="14"/>
  <c r="CQ170" i="14"/>
  <c r="CP170" i="14"/>
  <c r="CP197" i="14"/>
  <c r="CQ197" i="14"/>
  <c r="CP214" i="14"/>
  <c r="CQ214" i="14"/>
  <c r="CP226" i="14"/>
  <c r="CQ226" i="14"/>
  <c r="CP34" i="14"/>
  <c r="CQ34" i="14"/>
  <c r="CQ110" i="14"/>
  <c r="CP110" i="14"/>
  <c r="CP46" i="14"/>
  <c r="CQ46" i="14"/>
  <c r="CP217" i="14"/>
  <c r="CQ217" i="14"/>
  <c r="CP216" i="14"/>
  <c r="CQ216" i="14"/>
  <c r="CC242" i="14"/>
  <c r="BX242" i="14"/>
  <c r="BZ242" i="14"/>
  <c r="BW242" i="14"/>
  <c r="BY242" i="14"/>
  <c r="CA242" i="14"/>
  <c r="BU242" i="14"/>
  <c r="BV242" i="14"/>
  <c r="CB242" i="14"/>
  <c r="CQ189" i="14"/>
  <c r="CP189" i="14"/>
  <c r="CP224" i="14"/>
  <c r="CQ224" i="14"/>
  <c r="AE28" i="12"/>
  <c r="AF28" i="21" s="1"/>
  <c r="AF39" i="21" s="1"/>
  <c r="AE27" i="23" s="1"/>
  <c r="AD32" i="23"/>
  <c r="AD34" i="23" s="1"/>
  <c r="AD61" i="21"/>
  <c r="AF77" i="22"/>
  <c r="AF57" i="21"/>
  <c r="AM32" i="26"/>
  <c r="AK30" i="25"/>
  <c r="AM33" i="26"/>
  <c r="BU238" i="14"/>
  <c r="AE27" i="12" s="1"/>
  <c r="AF27" i="21" s="1"/>
  <c r="AF61" i="21" s="1"/>
  <c r="AH33" i="26"/>
  <c r="AG30" i="25"/>
  <c r="AH32" i="26"/>
  <c r="AF38" i="21" l="1"/>
  <c r="AE26" i="23" s="1"/>
  <c r="AE32" i="23" s="1"/>
  <c r="AE34" i="23" s="1"/>
  <c r="AF65" i="21"/>
  <c r="AG33" i="26"/>
  <c r="AD33" i="26" s="1"/>
  <c r="AG34" i="26"/>
  <c r="AD34" i="26" s="1"/>
  <c r="AG32" i="26"/>
  <c r="AD32" i="26" s="1"/>
  <c r="AD34" i="25" s="1"/>
  <c r="AL33" i="26"/>
  <c r="AI33" i="26" s="1"/>
  <c r="AL34" i="26"/>
  <c r="AI34" i="26" s="1"/>
  <c r="AL32" i="26"/>
  <c r="AI32" i="26" s="1"/>
  <c r="AH34" i="25" l="1"/>
</calcChain>
</file>

<file path=xl/comments1.xml><?xml version="1.0" encoding="utf-8"?>
<comments xmlns="http://schemas.openxmlformats.org/spreadsheetml/2006/main">
  <authors>
    <author>Author</author>
  </authors>
  <commentList>
    <comment ref="BC24" authorId="0" shapeId="0">
      <text>
        <r>
          <rPr>
            <sz val="9"/>
            <color indexed="81"/>
            <rFont val="Tahoma"/>
            <family val="2"/>
          </rPr>
          <t>Двойной щелчок по пользовательской ячейке для выбора из реестра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H24" authorId="0" shapeId="0">
      <text>
        <r>
          <rPr>
            <sz val="9"/>
            <color indexed="81"/>
            <rFont val="Tahoma"/>
            <family val="2"/>
          </rPr>
          <t>указывается КОЛИЧЕСТВО нарушений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H24" authorId="0" shapeId="0">
      <text>
        <r>
          <rPr>
            <sz val="9"/>
            <color indexed="81"/>
            <rFont val="Tahoma"/>
            <family val="2"/>
          </rPr>
          <t>указывается КОЛИЧЕСТВО нарушений</t>
        </r>
      </text>
    </comment>
  </commentList>
</comments>
</file>

<file path=xl/sharedStrings.xml><?xml version="1.0" encoding="utf-8"?>
<sst xmlns="http://schemas.openxmlformats.org/spreadsheetml/2006/main" count="5037" uniqueCount="2111">
  <si>
    <t>Правообладатель шаблона - ООО «Платформа» (ОГРН 1147746709153). _x000D_
Данный шаблон предоставлен в использование исключительно для сбора информации с регулируемых организаций на территории субъекта РФ. Распространение, передача настоящего шаблона государственным органам и/или регулируемым организациям и иным лицам, осуществляющим деятельность на территории других субъектов Российской Федерации, равно как и любое иное использование данного шаблона такими лицами запрещены и признаются нарушением исключительного права правообладателя шаблона и являются основанием для привлечения к гражданской и административной ответственности в соответствии с законодательством Российской Федерации.</t>
  </si>
  <si>
    <t>У Вас нет прав на заполнение данной формы. Обратитесь в службу поддержки https://my-sp.ru</t>
  </si>
  <si>
    <t>Настройка REESTR_ORG</t>
  </si>
  <si>
    <t>Код</t>
  </si>
  <si>
    <t>Сфера</t>
  </si>
  <si>
    <t>Загружать</t>
  </si>
  <si>
    <t>EE</t>
  </si>
  <si>
    <t>ЭЭ</t>
  </si>
  <si>
    <t>да</t>
  </si>
  <si>
    <t>WARM</t>
  </si>
  <si>
    <t>ТС</t>
  </si>
  <si>
    <t>нет</t>
  </si>
  <si>
    <t>VO</t>
  </si>
  <si>
    <t>ВО</t>
  </si>
  <si>
    <t>TKO</t>
  </si>
  <si>
    <t>ТКО</t>
  </si>
  <si>
    <t>UTBO</t>
  </si>
  <si>
    <t>УТБО</t>
  </si>
  <si>
    <t>GAS</t>
  </si>
  <si>
    <t>Газ</t>
  </si>
  <si>
    <t>TRANSPORT</t>
  </si>
  <si>
    <t>Транспорт</t>
  </si>
  <si>
    <t>OTHER</t>
  </si>
  <si>
    <t>Прочее</t>
  </si>
  <si>
    <t>CVSNA</t>
  </si>
  <si>
    <t>ХВС</t>
  </si>
  <si>
    <t>HVSNA</t>
  </si>
  <si>
    <t>ГВС</t>
  </si>
  <si>
    <t>AERO</t>
  </si>
  <si>
    <t>Авиаперевозки</t>
  </si>
  <si>
    <t xml:space="preserve"> (требуется обновление)</t>
  </si>
  <si>
    <t>Код отчёта: EE.CALC.QUALITY.FACT.2026.EIAS</t>
  </si>
  <si>
    <t>Версия отчёта: 1.0.0</t>
  </si>
  <si>
    <t>Расчет уровня надежности и качества поставляемых товаров и услуг</t>
  </si>
  <si>
    <t>Условные обозначения</t>
  </si>
  <si>
    <t>A</t>
  </si>
  <si>
    <t xml:space="preserve"> - предназначенные для заполнения</t>
  </si>
  <si>
    <t xml:space="preserve"> - ссылки и автозаполняемые поля</t>
  </si>
  <si>
    <t xml:space="preserve"> - с формулами и константами</t>
  </si>
  <si>
    <t xml:space="preserve"> - обязательные для заполнения</t>
  </si>
  <si>
    <t>Работа с реестрами</t>
  </si>
  <si>
    <t>Если в предложенном Вам списке необходимая организация, территория или объект отсутствуют, обновите списки с помощью элементов управления на листах. Если после обновления Вам не удалось найти необходимую позицию в списке, обратитесь к ответственному за поддержание реестра Вашего региона либо в Отдел сопровождения пользователей ЕИАС.</t>
  </si>
  <si>
    <t>Проверка отчёта</t>
  </si>
  <si>
    <t>• При сохранении отчётной формы осуществляется проверка корректности данных_x000D_
• Для каждого сообщения возможны 2 статуса: ошибка и предупреждение_x000D_
• При наличии сообщений со статусом «Ошибка» файл будет отклонён системой и не будет загружен в хранилище данных, сообщения со статусом «Предупреждение» носят информационный характер, и такой файл будет принят к обработке системой</t>
  </si>
  <si>
    <t>wsNames</t>
  </si>
  <si>
    <t>wsCheck</t>
  </si>
  <si>
    <t xml:space="preserve">Оглавление шаблона (список листов) </t>
  </si>
  <si>
    <t>Инструкция</t>
  </si>
  <si>
    <t>Титульный</t>
  </si>
  <si>
    <t>checkTitle</t>
  </si>
  <si>
    <t>Сопроводительные материалы</t>
  </si>
  <si>
    <t>ф.2.1 ИндИнф (Ин)</t>
  </si>
  <si>
    <t>ф.2.2 ИндИспол (Ис)</t>
  </si>
  <si>
    <t>ф.2.3 ИндРезульт (Рс)</t>
  </si>
  <si>
    <t>ф.1.3 Ср.продолж.</t>
  </si>
  <si>
    <t>ф.1.3.1 Ср.продолж.</t>
  </si>
  <si>
    <t>ф.8.1 Журнал учета</t>
  </si>
  <si>
    <t>checkF81</t>
  </si>
  <si>
    <t>ф.8.1.1 Ведомость_свод</t>
  </si>
  <si>
    <t>ф.8.3 Индикатив</t>
  </si>
  <si>
    <t>ф.8.3.1 Индикатив</t>
  </si>
  <si>
    <t>Заявки Техприс</t>
  </si>
  <si>
    <t>Договоры Техприс</t>
  </si>
  <si>
    <t>Ф.3.1Ф3.2 ПоказТехприс (Птпр)</t>
  </si>
  <si>
    <t>Форма 4.1 расч.</t>
  </si>
  <si>
    <t>Форма 4.1 расч. с 2024 г</t>
  </si>
  <si>
    <t>Форма 4.2 расч.</t>
  </si>
  <si>
    <t>Форма 4.2 расч. с 2024 г</t>
  </si>
  <si>
    <t>ф.1.9 Характеристика</t>
  </si>
  <si>
    <t>Ф9.1Ф9.2</t>
  </si>
  <si>
    <t>Комментарии</t>
  </si>
  <si>
    <t>end</t>
  </si>
  <si>
    <t>REGIONS</t>
  </si>
  <si>
    <t>LINK_DOC_MASK</t>
  </si>
  <si>
    <t>INSTRUCTION</t>
  </si>
  <si>
    <t>Код организационной причины аварии</t>
  </si>
  <si>
    <t>Логика</t>
  </si>
  <si>
    <t>Кварталы</t>
  </si>
  <si>
    <t>Года</t>
  </si>
  <si>
    <t>Месяц-текст</t>
  </si>
  <si>
    <t>Месяц-число</t>
  </si>
  <si>
    <t>День-число</t>
  </si>
  <si>
    <t>doc_list</t>
  </si>
  <si>
    <t>SphereList</t>
  </si>
  <si>
    <t>SphereList_ru</t>
  </si>
  <si>
    <t>TYPE_OBGECT</t>
  </si>
  <si>
    <t>TYPE_TERMINATION</t>
  </si>
  <si>
    <t>VID_END_EE</t>
  </si>
  <si>
    <t>VID_OBJECT</t>
  </si>
  <si>
    <t>bln_binary</t>
  </si>
  <si>
    <t>Белгородская область</t>
  </si>
  <si>
    <t>^https:\/\/data\-platform\.ru\/lk\/files\/Files\/urVKcs\/[0-9a-f]{8}-[0-9a-f]{4}-[0-9a-f]{4}-[0-9a-f]{4}-[0-9a-f]{12}</t>
  </si>
  <si>
    <t>https://cloud.data-platform.ru/index.php/s/SaGeFsr5PZxDXib</t>
  </si>
  <si>
    <t>3.4.1</t>
  </si>
  <si>
    <t>I квартал</t>
  </si>
  <si>
    <t>январь</t>
  </si>
  <si>
    <t>01</t>
  </si>
  <si>
    <t>отсутствует</t>
  </si>
  <si>
    <t>Водоотведение</t>
  </si>
  <si>
    <t>КЛ</t>
  </si>
  <si>
    <t>П</t>
  </si>
  <si>
    <t>0</t>
  </si>
  <si>
    <t>Владимирская область</t>
  </si>
  <si>
    <t>^https:\/\/regportal-tariff\.ru\/disclo\/get_file\?p_guid=[0-9a-f]{8}-[0-9a-f]{4}-[0-9a-f]{4}-[0-9a-f]{4}-[0-9a-f]{12}$</t>
  </si>
  <si>
    <t>3.4.2</t>
  </si>
  <si>
    <t>I полугодие</t>
  </si>
  <si>
    <t>февраль</t>
  </si>
  <si>
    <t>02</t>
  </si>
  <si>
    <t>ссылка на документ</t>
  </si>
  <si>
    <t>Газоснабжение</t>
  </si>
  <si>
    <t>ВЛ</t>
  </si>
  <si>
    <t>А</t>
  </si>
  <si>
    <t>1</t>
  </si>
  <si>
    <t>Волгоградская область</t>
  </si>
  <si>
    <t>maxDateToCheck</t>
  </si>
  <si>
    <t>3.4.3</t>
  </si>
  <si>
    <t>9 месяцев</t>
  </si>
  <si>
    <t>март</t>
  </si>
  <si>
    <t>03</t>
  </si>
  <si>
    <t>HOT_VS</t>
  </si>
  <si>
    <t>Горячее водоснабжение</t>
  </si>
  <si>
    <t>ПС</t>
  </si>
  <si>
    <t>В</t>
  </si>
  <si>
    <t>КВЛ</t>
  </si>
  <si>
    <t>Еврейская автономная область</t>
  </si>
  <si>
    <t>19.03.2026</t>
  </si>
  <si>
    <t>3.4.4</t>
  </si>
  <si>
    <t>год</t>
  </si>
  <si>
    <t>апрель</t>
  </si>
  <si>
    <t>04</t>
  </si>
  <si>
    <t>ТП</t>
  </si>
  <si>
    <t>Кемеровская область</t>
  </si>
  <si>
    <t>3.4.5</t>
  </si>
  <si>
    <t>Выбранный регион</t>
  </si>
  <si>
    <t>май</t>
  </si>
  <si>
    <t>05</t>
  </si>
  <si>
    <t>POSSIBLE_PERIOD_LENGTH</t>
  </si>
  <si>
    <t>РП</t>
  </si>
  <si>
    <t>Красноярский край</t>
  </si>
  <si>
    <t>ChangeStore</t>
  </si>
  <si>
    <t>3.4.6</t>
  </si>
  <si>
    <t>июнь</t>
  </si>
  <si>
    <t>06</t>
  </si>
  <si>
    <t>3</t>
  </si>
  <si>
    <t>VS</t>
  </si>
  <si>
    <t>Холодное водоснабжение</t>
  </si>
  <si>
    <t>Омская область</t>
  </si>
  <si>
    <t>{"valids":[{"list":"logic","adr":"FIL_FLAG"},{"list":"logic","adr":"FIRST_PERIOD_INDEX"},{"list":"Period","adr":"FIRST_PERIOD_IN_LT"}],"colors":{"#e3fafd":["FIL_FLAG","FIRST_PERIOD_INDEX","FIRST_PERIOD_IN_LT","formingLock_1","formingLock_2","ruk_FIO","formingLock_3","formingLock_4","formingLock_5","formingLock_6"],"#b7e4ff":[]}}</t>
  </si>
  <si>
    <t>3.4.7.1</t>
  </si>
  <si>
    <t>июль</t>
  </si>
  <si>
    <t>07</t>
  </si>
  <si>
    <t>4</t>
  </si>
  <si>
    <t>Электроэнергетика</t>
  </si>
  <si>
    <t>Пермский край</t>
  </si>
  <si>
    <t>3.4.7.2</t>
  </si>
  <si>
    <t>II квартал</t>
  </si>
  <si>
    <t>август</t>
  </si>
  <si>
    <t>08</t>
  </si>
  <si>
    <t>5</t>
  </si>
  <si>
    <t>VS_VO</t>
  </si>
  <si>
    <t>Водоснабжение и водоотведение</t>
  </si>
  <si>
    <t>Республика Крым</t>
  </si>
  <si>
    <t>END_LICENSE</t>
  </si>
  <si>
    <t>3.4.7.3</t>
  </si>
  <si>
    <t>III квартал</t>
  </si>
  <si>
    <t>сентябрь</t>
  </si>
  <si>
    <t>09</t>
  </si>
  <si>
    <t>SOCIAL</t>
  </si>
  <si>
    <t>Социальные услуги</t>
  </si>
  <si>
    <t>Ставропольский край</t>
  </si>
  <si>
    <t>31.12.2040</t>
  </si>
  <si>
    <t>3.4.7.4</t>
  </si>
  <si>
    <t>IV квартал</t>
  </si>
  <si>
    <t>октябрь</t>
  </si>
  <si>
    <t>Томская область</t>
  </si>
  <si>
    <t>3.4.8.1</t>
  </si>
  <si>
    <t>ноябрь</t>
  </si>
  <si>
    <t>Ульяновская область</t>
  </si>
  <si>
    <t>TemplateState</t>
  </si>
  <si>
    <t>3.4.8.2</t>
  </si>
  <si>
    <t>декабрь</t>
  </si>
  <si>
    <t>г.Санкт-Петербург</t>
  </si>
  <si>
    <t>FORMED</t>
  </si>
  <si>
    <t>3.4.8.3</t>
  </si>
  <si>
    <t>FACT_YEAR</t>
  </si>
  <si>
    <t>PRELOAD</t>
  </si>
  <si>
    <t>г.Севастополь</t>
  </si>
  <si>
    <t>3.4.8.4</t>
  </si>
  <si>
    <t>CHECK</t>
  </si>
  <si>
    <t>ORG_ID</t>
  </si>
  <si>
    <t>3.4.8.5</t>
  </si>
  <si>
    <t>F41_Calc</t>
  </si>
  <si>
    <t>3.4.9.1</t>
  </si>
  <si>
    <t>3.4.9.2</t>
  </si>
  <si>
    <t>3.4.9.3</t>
  </si>
  <si>
    <t>3.4.10</t>
  </si>
  <si>
    <t>3.4.11</t>
  </si>
  <si>
    <t>3.4.12.1</t>
  </si>
  <si>
    <t>3.4.12.2</t>
  </si>
  <si>
    <t>3.4.12.3</t>
  </si>
  <si>
    <t>3.4.12.4</t>
  </si>
  <si>
    <t>3.4.12.5</t>
  </si>
  <si>
    <t>3.4.13.1</t>
  </si>
  <si>
    <t>3.4.13.2</t>
  </si>
  <si>
    <t>OVER_PERIOD_3</t>
  </si>
  <si>
    <t>3.4.13.3</t>
  </si>
  <si>
    <t>3.4.13.4</t>
  </si>
  <si>
    <t>3.4.14</t>
  </si>
  <si>
    <t>OVER_PERIOD_4</t>
  </si>
  <si>
    <t>OVER_PERIOD_5</t>
  </si>
  <si>
    <t>Shema_TP</t>
  </si>
  <si>
    <t>Постоянная</t>
  </si>
  <si>
    <t>Временная</t>
  </si>
  <si>
    <t>YES_NO</t>
  </si>
  <si>
    <t>Да</t>
  </si>
  <si>
    <t>Нет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</si>
  <si>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</si>
  <si>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</si>
  <si>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</si>
  <si>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</si>
  <si>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</si>
  <si>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</si>
  <si>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</si>
  <si>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</si>
  <si>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VDET_START_DATE</t>
  </si>
  <si>
    <t>VDET_END_DATE</t>
  </si>
  <si>
    <t>VDET_NAME</t>
  </si>
  <si>
    <t>VDET_NAME_LIST</t>
  </si>
  <si>
    <t>VDET_FULL_NAME_LIST</t>
  </si>
  <si>
    <t>SPHERE</t>
  </si>
  <si>
    <t>2658</t>
  </si>
  <si>
    <t>28943588</t>
  </si>
  <si>
    <t>АО "Атомэнергопромсбыт"</t>
  </si>
  <si>
    <t>7725828549</t>
  </si>
  <si>
    <t>770501001</t>
  </si>
  <si>
    <t/>
  </si>
  <si>
    <t>01-07-2024 00:00:00</t>
  </si>
  <si>
    <t>Нерегулируемый сбыт</t>
  </si>
  <si>
    <t>/Электроэнергетика/Сбыт ЭЭ/Нерегулируемый сбыт</t>
  </si>
  <si>
    <t>26484438</t>
  </si>
  <si>
    <t>АО "Газпром добыча Томск"</t>
  </si>
  <si>
    <t>7019035722</t>
  </si>
  <si>
    <t>701701001</t>
  </si>
  <si>
    <t>24-06-1998 00:00:00</t>
  </si>
  <si>
    <t>27-01-2010 00:00:00</t>
  </si>
  <si>
    <t>РСО :: Некомбинированная выработка</t>
  </si>
  <si>
    <t>/Электроэнергетика/Передача ЭЭ/РСО :: /Электроэнергетика/Производство ЭЭ/Некомбинированная выработка</t>
  </si>
  <si>
    <t>26318885</t>
  </si>
  <si>
    <t>АО "Газпром энергосбыт"</t>
  </si>
  <si>
    <t>7705750968</t>
  </si>
  <si>
    <t>781001001</t>
  </si>
  <si>
    <t>05-09-2006 00:00:00</t>
  </si>
  <si>
    <t>13-08-2008 00:00:00</t>
  </si>
  <si>
    <t>26448590</t>
  </si>
  <si>
    <t>АО "ЕЭСнК"</t>
  </si>
  <si>
    <t>7727232575</t>
  </si>
  <si>
    <t>997650001</t>
  </si>
  <si>
    <t>09-12-2012 00:00:00</t>
  </si>
  <si>
    <t>07-12-2009 00:00:00</t>
  </si>
  <si>
    <t>26318876</t>
  </si>
  <si>
    <t>АО "Мосэнергосбыт"</t>
  </si>
  <si>
    <t>7736520080</t>
  </si>
  <si>
    <t>26448586</t>
  </si>
  <si>
    <t>АО "СИБУР Энерго"</t>
  </si>
  <si>
    <t>7727276526</t>
  </si>
  <si>
    <t>366301001</t>
  </si>
  <si>
    <t>26318707</t>
  </si>
  <si>
    <t>АО "СХК"</t>
  </si>
  <si>
    <t>7024029499</t>
  </si>
  <si>
    <t>702401001</t>
  </si>
  <si>
    <t>01-09-2008 00:00:00</t>
  </si>
  <si>
    <t>01-07-2018 00:00:00</t>
  </si>
  <si>
    <t>Нерегулируемый сбыт :: Комбинированная выработка :: Некомбинированная выработка</t>
  </si>
  <si>
    <t>/Электроэнергетика/Сбыт ЭЭ/Нерегулируемый сбыт :: /Электроэнергетика/Производство ЭЭ/Комбинированная выработка :: /Электроэнергетика/Производство ЭЭ/Некомбинированная выработка</t>
  </si>
  <si>
    <t>26360222</t>
  </si>
  <si>
    <t>АО "Сибкабель"</t>
  </si>
  <si>
    <t>7020012261</t>
  </si>
  <si>
    <t>702001001</t>
  </si>
  <si>
    <t>03-09-2002 00:00:00</t>
  </si>
  <si>
    <t>РСО</t>
  </si>
  <si>
    <t>/Электроэнергетика/Передача ЭЭ/РСО</t>
  </si>
  <si>
    <t>28869533</t>
  </si>
  <si>
    <t>АО "ТомскРТС"</t>
  </si>
  <si>
    <t>7017351521</t>
  </si>
  <si>
    <t>08-04-2014 00:00:00</t>
  </si>
  <si>
    <t>01-01-2014 00:00:00</t>
  </si>
  <si>
    <t>Комбинированная выработка</t>
  </si>
  <si>
    <t>/Электроэнергетика/Производство ЭЭ/Комбинированная выработка</t>
  </si>
  <si>
    <t>28960182</t>
  </si>
  <si>
    <t>АО "Томская генерация"</t>
  </si>
  <si>
    <t>7017373959</t>
  </si>
  <si>
    <t>01-04-2015 00:00:00</t>
  </si>
  <si>
    <t>Комбинированная выработка :: Некомбинированная выработка</t>
  </si>
  <si>
    <t>/Электроэнергетика/Производство ЭЭ/Комбинированная выработка :: /Электроэнергетика/Производство ЭЭ/Некомбинированная выработка</t>
  </si>
  <si>
    <t>26319052</t>
  </si>
  <si>
    <t>АО "Томскэнергосбыт"</t>
  </si>
  <si>
    <t>7017114680</t>
  </si>
  <si>
    <t>ГП</t>
  </si>
  <si>
    <t>/Электроэнергетика/Сбыт ЭЭ/ГП</t>
  </si>
  <si>
    <t>27899801</t>
  </si>
  <si>
    <t>АО "Томскэнергосбыт" (север)</t>
  </si>
  <si>
    <t>7017114880</t>
  </si>
  <si>
    <t>17-10-2012 00:00:00</t>
  </si>
  <si>
    <t>26856565</t>
  </si>
  <si>
    <t>АО "Энерго Сервис"</t>
  </si>
  <si>
    <t>7022014560</t>
  </si>
  <si>
    <t>702201001</t>
  </si>
  <si>
    <t>18-07-2011 00:00:00</t>
  </si>
  <si>
    <t>01-01-2017 00:00:00</t>
  </si>
  <si>
    <t>31080320</t>
  </si>
  <si>
    <t>АО "Энергосервисная компания Сибири"</t>
  </si>
  <si>
    <t>5501231424</t>
  </si>
  <si>
    <t>246301001</t>
  </si>
  <si>
    <t>30-09-2021 00:00:00</t>
  </si>
  <si>
    <t>Нерегулируемый сбыт :: Некомбинированная выработка</t>
  </si>
  <si>
    <t>/Электроэнергетика/Сбыт ЭЭ/Нерегулируемый сбыт :: /Электроэнергетика/Производство ЭЭ/Некомбинированная выработка</t>
  </si>
  <si>
    <t>РСО :: Нерегулируемый сбыт :: Некомбинированная выработка</t>
  </si>
  <si>
    <t>/Электроэнергетика/Передача ЭЭ/РСО :: /Электроэнергетика/Сбыт ЭЭ/Нерегулируемый сбыт :: /Электроэнергетика/Производство ЭЭ/Некомбинированная выработка</t>
  </si>
  <si>
    <t>26448471</t>
  </si>
  <si>
    <t>АО "ЮТЭК"</t>
  </si>
  <si>
    <t>8601022317</t>
  </si>
  <si>
    <t>862450001</t>
  </si>
  <si>
    <t>12-03-2004 00:00:00</t>
  </si>
  <si>
    <t>30958269</t>
  </si>
  <si>
    <t>АО «РИР» Филиал в г. Северске</t>
  </si>
  <si>
    <t>7706757331</t>
  </si>
  <si>
    <t>702443001</t>
  </si>
  <si>
    <t>29-09-2017 00:00:00</t>
  </si>
  <si>
    <t>26516002</t>
  </si>
  <si>
    <t>Акционерное общество "Энергопромышленная компания", г. Екатеринбург</t>
  </si>
  <si>
    <t>6661105959</t>
  </si>
  <si>
    <t>667101001</t>
  </si>
  <si>
    <t>19-05-2010 00:00:00</t>
  </si>
  <si>
    <t>26767932</t>
  </si>
  <si>
    <t>Западно-Сибирская дирекция по энергообеспечению-Трансэнерго, филиала ОАО "РЖД"</t>
  </si>
  <si>
    <t>7708503727</t>
  </si>
  <si>
    <t>540745012</t>
  </si>
  <si>
    <t>07-02-2011 00:00:00</t>
  </si>
  <si>
    <t>28465854</t>
  </si>
  <si>
    <t>ИП Суханов О.Н.</t>
  </si>
  <si>
    <t>543310909351</t>
  </si>
  <si>
    <t>27-04-2011 00:00:00</t>
  </si>
  <si>
    <t>26360120</t>
  </si>
  <si>
    <t>МУП "Батуринское ЖКХ"</t>
  </si>
  <si>
    <t>7002011530</t>
  </si>
  <si>
    <t>700201001</t>
  </si>
  <si>
    <t>25-12-2005 00:00:00</t>
  </si>
  <si>
    <t>30888718</t>
  </si>
  <si>
    <t>МУП "Дальсервис"</t>
  </si>
  <si>
    <t>7007012657</t>
  </si>
  <si>
    <t>700701001</t>
  </si>
  <si>
    <t>16-11-2016 00:00:00</t>
  </si>
  <si>
    <t>01-02-2017 00:00:00</t>
  </si>
  <si>
    <t>30882314</t>
  </si>
  <si>
    <t>МУП "ЖКХ Васюган"</t>
  </si>
  <si>
    <t>7006009267</t>
  </si>
  <si>
    <t>700601001</t>
  </si>
  <si>
    <t>30-01-2017 00:00:00</t>
  </si>
  <si>
    <t>26360141</t>
  </si>
  <si>
    <t>МУП "ЖКХ Киевское" муниципального образования "Толпаровское сельское поселение"</t>
  </si>
  <si>
    <t>7006006178</t>
  </si>
  <si>
    <t>17-01-2005 00:00:00</t>
  </si>
  <si>
    <t>26360140</t>
  </si>
  <si>
    <t>МУП "ЖКХ Молодежный" муниципального образования "Среднетымское сельское поселение"</t>
  </si>
  <si>
    <t>7006006160</t>
  </si>
  <si>
    <t>14-01-2005 00:00:00</t>
  </si>
  <si>
    <t>26360139</t>
  </si>
  <si>
    <t>МУП "ЖКХ Сосновское" муниципального образования "Сосновское сельское поселение"</t>
  </si>
  <si>
    <t>7006006153</t>
  </si>
  <si>
    <t>26360143</t>
  </si>
  <si>
    <t>МУП "ЖКХ Тымское" муниципального образования "Тымское сельское поселение"</t>
  </si>
  <si>
    <t>7006006298</t>
  </si>
  <si>
    <t>05-08-2005 00:00:00</t>
  </si>
  <si>
    <t>26360230</t>
  </si>
  <si>
    <t>МУП "ЖКХ" с.Назино</t>
  </si>
  <si>
    <t>7022014842</t>
  </si>
  <si>
    <t>10-04-2006 00:00:00</t>
  </si>
  <si>
    <t>26360231</t>
  </si>
  <si>
    <t>МУП "Комсервис" Александровского района Томской области</t>
  </si>
  <si>
    <t>7022014874</t>
  </si>
  <si>
    <t>13-04-2006 00:00:00</t>
  </si>
  <si>
    <t>26360229</t>
  </si>
  <si>
    <t>МУП "Комсервис" Лукашкин-Ярского сельского поселения Александровского района Томской области</t>
  </si>
  <si>
    <t>7022014835</t>
  </si>
  <si>
    <t>26360123</t>
  </si>
  <si>
    <t>МУП "Лисица"</t>
  </si>
  <si>
    <t>7004004182</t>
  </si>
  <si>
    <t>700401001</t>
  </si>
  <si>
    <t>14-12-2002 00:00:00</t>
  </si>
  <si>
    <t>26360170</t>
  </si>
  <si>
    <t>МУП "Нарымское ЖКХ"</t>
  </si>
  <si>
    <t>7011003207</t>
  </si>
  <si>
    <t>701101001</t>
  </si>
  <si>
    <t>18-12-2003 00:00:00</t>
  </si>
  <si>
    <t>26465821</t>
  </si>
  <si>
    <t>МУП "Новониколаевское ЖКХ"</t>
  </si>
  <si>
    <t>7002011787</t>
  </si>
  <si>
    <t>13-03-2006 00:00:00</t>
  </si>
  <si>
    <t>29-03-2019 00:00:00</t>
  </si>
  <si>
    <t>30803401</t>
  </si>
  <si>
    <t>МУП "Степановское"</t>
  </si>
  <si>
    <t>7004007610</t>
  </si>
  <si>
    <t>16-06-2016 00:00:00</t>
  </si>
  <si>
    <t>26360136</t>
  </si>
  <si>
    <t>МУП "Теплоэнергоснаб" муниципального образования Новоюгинское сельское поселение</t>
  </si>
  <si>
    <t>7006005939</t>
  </si>
  <si>
    <t>28-06-2004 00:00:00</t>
  </si>
  <si>
    <t>26360137</t>
  </si>
  <si>
    <t>МУП «ЖКХ Березовское»</t>
  </si>
  <si>
    <t>7006006139</t>
  </si>
  <si>
    <t>26360138</t>
  </si>
  <si>
    <t>МУП «ЖКХ Усть-Тымское»</t>
  </si>
  <si>
    <t>7006006146</t>
  </si>
  <si>
    <t>31229252</t>
  </si>
  <si>
    <t>МУП «Катайгинское»</t>
  </si>
  <si>
    <t>7004007987</t>
  </si>
  <si>
    <t>28-11-2018 00:00:00</t>
  </si>
  <si>
    <t>02-08-2022 00:00:00</t>
  </si>
  <si>
    <t>31879725</t>
  </si>
  <si>
    <t>МУП «СКС»</t>
  </si>
  <si>
    <t>7000028697</t>
  </si>
  <si>
    <t>700001001</t>
  </si>
  <si>
    <t>22-09-2025 00:00:00</t>
  </si>
  <si>
    <t>01-10-2025 00:00:00</t>
  </si>
  <si>
    <t>31715817</t>
  </si>
  <si>
    <t>МУП «Энергия»</t>
  </si>
  <si>
    <t>7000011703</t>
  </si>
  <si>
    <t>16-11-2023 00:00:00</t>
  </si>
  <si>
    <t>01-12-2023 00:00:00</t>
  </si>
  <si>
    <t>30881973</t>
  </si>
  <si>
    <t>ОАО "ВостокГАЗПРОМ"</t>
  </si>
  <si>
    <t>7017005296</t>
  </si>
  <si>
    <t>21-07-1999 00:00:00</t>
  </si>
  <si>
    <t>31506216</t>
  </si>
  <si>
    <t>ООО "АльфаСибэнерго"</t>
  </si>
  <si>
    <t>7014061951</t>
  </si>
  <si>
    <t>701401001</t>
  </si>
  <si>
    <t>19-01-2017 00:00:00</t>
  </si>
  <si>
    <t>29-04-2021 00:00:00</t>
  </si>
  <si>
    <t>26322924</t>
  </si>
  <si>
    <t>ООО "Аэропорт Томск"</t>
  </si>
  <si>
    <t>7014044882</t>
  </si>
  <si>
    <t>31293863</t>
  </si>
  <si>
    <t>ООО "Газпромнефть-Восток"</t>
  </si>
  <si>
    <t>7017126251</t>
  </si>
  <si>
    <t>14-09-2005 00:00:00</t>
  </si>
  <si>
    <t>01-01-2019 00:00:00</t>
  </si>
  <si>
    <t>Некомбинированная выработка</t>
  </si>
  <si>
    <t>/Электроэнергетика/Производство ЭЭ/Некомбинированная выработка</t>
  </si>
  <si>
    <t>26322916</t>
  </si>
  <si>
    <t>ООО "Горсети"</t>
  </si>
  <si>
    <t>7017081040</t>
  </si>
  <si>
    <t>28-10-2003 00:00:00</t>
  </si>
  <si>
    <t>26794654</t>
  </si>
  <si>
    <t>ООО "Ижэнергосбыт"</t>
  </si>
  <si>
    <t>1834024515</t>
  </si>
  <si>
    <t>184001001</t>
  </si>
  <si>
    <t>01-04-2017 00:00:00</t>
  </si>
  <si>
    <t>27577731</t>
  </si>
  <si>
    <t>ООО "ИнвестГрадСтрой"</t>
  </si>
  <si>
    <t>4205130008</t>
  </si>
  <si>
    <t>22-05-2007 00:00:00</t>
  </si>
  <si>
    <t>28147378</t>
  </si>
  <si>
    <t>ООО "МагнитЭнерго"</t>
  </si>
  <si>
    <t>7715902899</t>
  </si>
  <si>
    <t>231101001</t>
  </si>
  <si>
    <t>01-01-2023 00:00:00</t>
  </si>
  <si>
    <t>31293871</t>
  </si>
  <si>
    <t>ООО "Норд-Сервис"</t>
  </si>
  <si>
    <t>7811493247</t>
  </si>
  <si>
    <t>781101001</t>
  </si>
  <si>
    <t>18-05-2011 00:00:00</t>
  </si>
  <si>
    <t>26416221</t>
  </si>
  <si>
    <t>ООО "РН-Энерго"</t>
  </si>
  <si>
    <t>7706525041</t>
  </si>
  <si>
    <t>02-05-2012 00:00:00</t>
  </si>
  <si>
    <t>28494201</t>
  </si>
  <si>
    <t>ООО "РУСЭНЕРГО"</t>
  </si>
  <si>
    <t>4401144416</t>
  </si>
  <si>
    <t>01-04-2022 00:00:00</t>
  </si>
  <si>
    <t>26318820</t>
  </si>
  <si>
    <t>ООО "Росатом Энергосбыт бизнес"</t>
  </si>
  <si>
    <t>4633017746</t>
  </si>
  <si>
    <t>772501001</t>
  </si>
  <si>
    <t>26502786</t>
  </si>
  <si>
    <t>ООО "Русэнергосбыт"</t>
  </si>
  <si>
    <t>7706284124</t>
  </si>
  <si>
    <t>770401001</t>
  </si>
  <si>
    <t>16-04-2010 00:00:00</t>
  </si>
  <si>
    <t>31293867</t>
  </si>
  <si>
    <t>ООО "СЭС"</t>
  </si>
  <si>
    <t>8604049941</t>
  </si>
  <si>
    <t>31529341</t>
  </si>
  <si>
    <t>ООО "Сайгинское ЖКХ"</t>
  </si>
  <si>
    <t>7025006840</t>
  </si>
  <si>
    <t>702501001</t>
  </si>
  <si>
    <t>04-10-2021 00:00:00</t>
  </si>
  <si>
    <t>26-11-2021 00:00:00</t>
  </si>
  <si>
    <t>30871474</t>
  </si>
  <si>
    <t>ООО "Сетевая компания Северска"</t>
  </si>
  <si>
    <t>7024040157</t>
  </si>
  <si>
    <t>17-08-2015 00:00:00</t>
  </si>
  <si>
    <t>01-01-2016 00:00:00</t>
  </si>
  <si>
    <t>30845328</t>
  </si>
  <si>
    <t>ООО "Сибирская электросеть"</t>
  </si>
  <si>
    <t>7017401564</t>
  </si>
  <si>
    <t>12-05-2016 00:00:00</t>
  </si>
  <si>
    <t>01-09-2016 00:00:00</t>
  </si>
  <si>
    <t>26322926</t>
  </si>
  <si>
    <t>ООО "ТИЗ - Сервис"</t>
  </si>
  <si>
    <t>7017104931</t>
  </si>
  <si>
    <t>03-11-2004 00:00:00</t>
  </si>
  <si>
    <t>31241406</t>
  </si>
  <si>
    <t>ООО "Томская территориальная сетевая компания"</t>
  </si>
  <si>
    <t>7017445650</t>
  </si>
  <si>
    <t>24-05-2018 00:00:00</t>
  </si>
  <si>
    <t>26360211</t>
  </si>
  <si>
    <t>ООО "Томскнефтехим"</t>
  </si>
  <si>
    <t>7017075536</t>
  </si>
  <si>
    <t>14-07-2003 00:00:00</t>
  </si>
  <si>
    <t>26497668</t>
  </si>
  <si>
    <t>ООО "Транснефтьэнерго"</t>
  </si>
  <si>
    <t>7703552167</t>
  </si>
  <si>
    <t>772301001</t>
  </si>
  <si>
    <t>01-07-2009 00:00:00</t>
  </si>
  <si>
    <t>28148523</t>
  </si>
  <si>
    <t>ООО "Электросети"</t>
  </si>
  <si>
    <t>7017279410</t>
  </si>
  <si>
    <t>24-02-2011 00:00:00</t>
  </si>
  <si>
    <t>27726456</t>
  </si>
  <si>
    <t>7024035693</t>
  </si>
  <si>
    <t>09-04-2012 00:00:00</t>
  </si>
  <si>
    <t>31617051</t>
  </si>
  <si>
    <t>ООО "Электроснаб"</t>
  </si>
  <si>
    <t>7017277229</t>
  </si>
  <si>
    <t>16-06-2022 00:00:00</t>
  </si>
  <si>
    <t>15-09-2022 00:00:00</t>
  </si>
  <si>
    <t>26360227</t>
  </si>
  <si>
    <t>ООО "Энергонефть Томск"</t>
  </si>
  <si>
    <t>7022010799</t>
  </si>
  <si>
    <t>22-10-2002 00:00:00</t>
  </si>
  <si>
    <t>31600390</t>
  </si>
  <si>
    <t>ООО «Водовод-К»</t>
  </si>
  <si>
    <t>7009004563</t>
  </si>
  <si>
    <t>700901001</t>
  </si>
  <si>
    <t>01-12-2022 00:00:00</t>
  </si>
  <si>
    <t>30857057</t>
  </si>
  <si>
    <t>ООО «Орловка»</t>
  </si>
  <si>
    <t>7004007708</t>
  </si>
  <si>
    <t>22-09-2016 00:00:00</t>
  </si>
  <si>
    <t>30849746</t>
  </si>
  <si>
    <t>ООО «С-К Молчаново»</t>
  </si>
  <si>
    <t>7010002930</t>
  </si>
  <si>
    <t>701001001</t>
  </si>
  <si>
    <t>10-09-2015 00:00:00</t>
  </si>
  <si>
    <t>01-09-2023 00:00:00</t>
  </si>
  <si>
    <t>30359939</t>
  </si>
  <si>
    <t>ООО «Томские электрические сети»</t>
  </si>
  <si>
    <t>7017380970</t>
  </si>
  <si>
    <t>14-07-2015 00:00:00</t>
  </si>
  <si>
    <t>16-11-2015 00:00:00</t>
  </si>
  <si>
    <t>26792017</t>
  </si>
  <si>
    <t>Общество с ограниченной ответственностью "АРСТЭМ-ЭнергоТрейд", г.Екатеринбург</t>
  </si>
  <si>
    <t>6672185635</t>
  </si>
  <si>
    <t>668501001</t>
  </si>
  <si>
    <t>17-03-2011 00:00:00</t>
  </si>
  <si>
    <t>26319037</t>
  </si>
  <si>
    <t>ПАО "Кузбассэнергосбыт"</t>
  </si>
  <si>
    <t>4205109214</t>
  </si>
  <si>
    <t>420501001</t>
  </si>
  <si>
    <t>01-07-2006 00:00:00</t>
  </si>
  <si>
    <t>27954259</t>
  </si>
  <si>
    <t>ПАО "ФСК - Россети"</t>
  </si>
  <si>
    <t>4716016979</t>
  </si>
  <si>
    <t>997450001</t>
  </si>
  <si>
    <t>13-11-2012 00:00:00</t>
  </si>
  <si>
    <t>26322920</t>
  </si>
  <si>
    <t>ПАО «Россети Томск»</t>
  </si>
  <si>
    <t>7017114672</t>
  </si>
  <si>
    <t>701750001</t>
  </si>
  <si>
    <t>31-03-2005 00:00:00</t>
  </si>
  <si>
    <t>01-01-2026 00:00:00</t>
  </si>
  <si>
    <t>30906887</t>
  </si>
  <si>
    <t>Свердловский филиал ООО "ЕЭС-Гарант"</t>
  </si>
  <si>
    <t>5024173259</t>
  </si>
  <si>
    <t>667043001</t>
  </si>
  <si>
    <t>07-04-2022 00:00:00</t>
  </si>
  <si>
    <t>26484440</t>
  </si>
  <si>
    <t>ФГАОУ ВО НИ ТПУ</t>
  </si>
  <si>
    <t>7018007264</t>
  </si>
  <si>
    <t>27196237</t>
  </si>
  <si>
    <t>филиал "Забайкальский" АО "Оборонэнерго"</t>
  </si>
  <si>
    <t>7704726225</t>
  </si>
  <si>
    <t>753643001</t>
  </si>
  <si>
    <t>31-08-2011 00:00:00</t>
  </si>
  <si>
    <t>01-06-2018 00:00:00</t>
  </si>
  <si>
    <t>27269797</t>
  </si>
  <si>
    <t>филиал "Сибирский" АО "Оборонэнерго"</t>
  </si>
  <si>
    <t>540643001</t>
  </si>
  <si>
    <t>14-10-2011 00:00:00</t>
  </si>
  <si>
    <t>markAxe_1</t>
  </si>
  <si>
    <t>ITEM</t>
  </si>
  <si>
    <t>COMMENT</t>
  </si>
  <si>
    <t>UNIT</t>
  </si>
  <si>
    <t>Расчет уровня надежности и качества поставляемых товаров и оказываемых услуг</t>
  </si>
  <si>
    <t>НСРФ</t>
  </si>
  <si>
    <t>Субъект РФ</t>
  </si>
  <si>
    <t>L.1</t>
  </si>
  <si>
    <t>Тип данных</t>
  </si>
  <si>
    <t>СТР</t>
  </si>
  <si>
    <t>Тип данных</t>
  </si>
  <si>
    <t>Факт</t>
  </si>
  <si>
    <t>L.PRD</t>
  </si>
  <si>
    <t>Отчетный фактический период</t>
  </si>
  <si>
    <t>ЧСЛ</t>
  </si>
  <si>
    <t>L.VERSION</t>
  </si>
  <si>
    <t>Версия</t>
  </si>
  <si>
    <t>Версия организации</t>
  </si>
  <si>
    <t>L.HAS.FIL</t>
  </si>
  <si>
    <t>Признак филиала</t>
  </si>
  <si>
    <t>Признак филиала</t>
  </si>
  <si>
    <t>L.ORG</t>
  </si>
  <si>
    <t>Организация</t>
  </si>
  <si>
    <t>ФИЛ</t>
  </si>
  <si>
    <t>Наименование филиала</t>
  </si>
  <si>
    <t>L.ORG.ID</t>
  </si>
  <si>
    <t>ID Организации</t>
  </si>
  <si>
    <t>ID Организации</t>
  </si>
  <si>
    <t>L.INN</t>
  </si>
  <si>
    <t>ИНН</t>
  </si>
  <si>
    <t>L.KPP</t>
  </si>
  <si>
    <t>КПП</t>
  </si>
  <si>
    <t>L.IS.FIRST.YEAR</t>
  </si>
  <si>
    <t>Отчет предоставляется в рамках первого долгосрочного периода регулирования</t>
  </si>
  <si>
    <t>Отчет предоставляется в рамках первого долгосрочного периода регулирования</t>
  </si>
  <si>
    <t>L.FIRST.YEAR</t>
  </si>
  <si>
    <t>Первый год долгосрочного периода регулирования</t>
  </si>
  <si>
    <t>Адрес организации</t>
  </si>
  <si>
    <t>L.UR.ADDRESS</t>
  </si>
  <si>
    <t>Юридический адрес</t>
  </si>
  <si>
    <t>Юридический адрес</t>
  </si>
  <si>
    <t>636785, Российская Федерация, Томская область г. Стрежевой, ул. Строителей 95</t>
  </si>
  <si>
    <t>L.POST.ADDRESS</t>
  </si>
  <si>
    <t>Почтовый адрес</t>
  </si>
  <si>
    <t>Почтовый адрес</t>
  </si>
  <si>
    <t>Руководитель</t>
  </si>
  <si>
    <t>L.RUK.FIO</t>
  </si>
  <si>
    <t>Руководитель. Фамилия, имя, отчество</t>
  </si>
  <si>
    <t>Фамилия, имя, отчество</t>
  </si>
  <si>
    <t>Шохин Александр Ефимович</t>
  </si>
  <si>
    <t>L.RUK.POS</t>
  </si>
  <si>
    <t>Руководитель. Должность</t>
  </si>
  <si>
    <t>Должность</t>
  </si>
  <si>
    <t>Генеральный директор</t>
  </si>
  <si>
    <t>L.RUK.PHONE</t>
  </si>
  <si>
    <t>Руководитель. (код) номер телефона</t>
  </si>
  <si>
    <t>(код) номер телефона</t>
  </si>
  <si>
    <t>8(382-59)6-30-04</t>
  </si>
  <si>
    <t>Главный бухгалтер</t>
  </si>
  <si>
    <t>L.BUH.FIO</t>
  </si>
  <si>
    <t>Главный бухгалтер. Фамилия, имя, отчество</t>
  </si>
  <si>
    <t>Иванова Наталья Владимировна</t>
  </si>
  <si>
    <t>L.BUH.PHONE</t>
  </si>
  <si>
    <t>Главный бухгалтер. (код) номер телефона</t>
  </si>
  <si>
    <t>8-38259-6-84-61</t>
  </si>
  <si>
    <t>Должностное лицо, ответственное за составление формы</t>
  </si>
  <si>
    <t>L.RESPONSE.FIO</t>
  </si>
  <si>
    <t>Должностное лицо, ответственное за составление формы. Фамилия, имя, отчество</t>
  </si>
  <si>
    <t>Тельманова Любовь Сергеевна</t>
  </si>
  <si>
    <t>L.RESPONSE.POS</t>
  </si>
  <si>
    <t>Должностное лицо, ответственное за составление формы. Должность</t>
  </si>
  <si>
    <t>Начальник отдела учета и сбыта электроэнергии</t>
  </si>
  <si>
    <t>L.RESPONSE.PHONE</t>
  </si>
  <si>
    <t>Должностное лицо, ответственное за составление формы. (код) номер телефона</t>
  </si>
  <si>
    <t>(38259) 6-60-30</t>
  </si>
  <si>
    <t>L.RESPONSE.EMAIL</t>
  </si>
  <si>
    <t>Должностное лицо, ответственное за составление формы. e-mail</t>
  </si>
  <si>
    <t>e-mail</t>
  </si>
  <si>
    <t>LSTelmanova2@energoneft-t.ru</t>
  </si>
  <si>
    <t>L.TPL.VERSION</t>
  </si>
  <si>
    <t>Версия шаблона</t>
  </si>
  <si>
    <t>dels_1</t>
  </si>
  <si>
    <t>nums_1</t>
  </si>
  <si>
    <t>adds_1</t>
  </si>
  <si>
    <t>links</t>
  </si>
  <si>
    <t>block_1</t>
  </si>
  <si>
    <t>DynParams</t>
  </si>
  <si>
    <t>№ п/п</t>
  </si>
  <si>
    <t>Наименование</t>
  </si>
  <si>
    <t>Ссылка на документ</t>
  </si>
  <si>
    <t>Количество листов (комментарий)</t>
  </si>
  <si>
    <t>Копии оперативных журналов</t>
  </si>
  <si>
    <t>2</t>
  </si>
  <si>
    <t>Реестр потребителей услуг к электрической сети электросетевой организации с указанием количества точек присоединения потребителей услуг, реквизитов договоров</t>
  </si>
  <si>
    <t>Однолинейные схемы электрических сетей с указанием границ балансовой принадлежности и точек поставки электрической энергии</t>
  </si>
  <si>
    <t>Договоры оказания услуг по передаче электрической энергии.</t>
  </si>
  <si>
    <t>План графиков ремонтных работ, срочные аварийные работы подтвердить уведомлениями потребителей (для подтверждения перерывов электроснабжения потребителей)</t>
  </si>
  <si>
    <t>Акты расследования причин аварии в соответствии с формой приказа Министерства энергетики Российской Федерации от 02.03.2010 № 90</t>
  </si>
  <si>
    <t>Пояснительная записка</t>
  </si>
  <si>
    <t>Подтверждающие документы о направлении проекта договора _x000D_
об осуществлении технологического присоединения заявителя к сети _x000D_
в установленные сроки, согласно п. 15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_x000D_
к электрическим сетям, утвержденными постановлением Правительства Российской Федерации от 27.12.2004 № 861 (далее – Правила)</t>
  </si>
  <si>
    <t>Подтверждающие документы об осуществлении технологического присоединения заявителя к сети в соответствии с установленными сроками согласно п. 16 Правил</t>
  </si>
  <si>
    <t>×</t>
  </si>
  <si>
    <t>et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</si>
  <si>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</si>
  <si>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</si>
  <si>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</si>
  <si>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</si>
  <si>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</si>
  <si>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</si>
  <si>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</si>
  <si>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</si>
  <si>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</si>
  <si>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</si>
  <si>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Добавить документ</t>
  </si>
  <si>
    <r>
      <rPr>
        <sz val="9"/>
        <rFont val="Tahoma"/>
        <family val="2"/>
        <charset val="204"/>
      </rPr>
      <t>Форма 2.1. Расчет значения индикатора информативности</t>
    </r>
  </si>
  <si>
    <t>Наименование параметра (критерия), характеризующего индикатор</t>
  </si>
  <si>
    <t>Значение</t>
  </si>
  <si>
    <t>Ф/П*100_x000D_
%</t>
  </si>
  <si>
    <t>Зависимость</t>
  </si>
  <si>
    <t>Оценочный_x000D_
балл</t>
  </si>
  <si>
    <t>факт_x000D_
(Ф)</t>
  </si>
  <si>
    <t>план_x000D_
(П)</t>
  </si>
  <si>
    <t>Возможность личного приема заявителей и потребителей услуг уполномоченными должностными лицами территориальной сетевой организации - всего,</t>
  </si>
  <si>
    <t>в том числе по критериям:</t>
  </si>
  <si>
    <t>1.1</t>
  </si>
  <si>
    <t>Количество структурных подразделений по работе с заявителями и потребителями услуг в процентном отношении к общему количеству структурных подразделений, %</t>
  </si>
  <si>
    <t>прямая</t>
  </si>
  <si>
    <t>1.2</t>
  </si>
  <si>
    <t>Количество утвержденных территориальной сетевой организацией в установленном порядке организационно-распорядительных документов по вопросам работы с заявителями и потребителями услуг - всего, шт.</t>
  </si>
  <si>
    <t>в том числе:</t>
  </si>
  <si>
    <t>1.2.1</t>
  </si>
  <si>
    <t>а) регламенты оказания услуг и рассмотрения обращений заявителей и потребителей услуг, шт.</t>
  </si>
  <si>
    <t>1.2.2</t>
  </si>
  <si>
    <t>б) наличие положения о деятельности структурного подразделения по работе _x000D_
с заявителями и потребителями услуг_x000D_
(наличие - 1, отсутствие - 0)</t>
  </si>
  <si>
    <t>1.2.3</t>
  </si>
  <si>
    <t>в) должностные инструкции сотрудников, обслуживающих заявителей и потребителей услуг, шт.</t>
  </si>
  <si>
    <t>1.2.4</t>
  </si>
  <si>
    <t>г) утвержденные территориальной сетевой организацией в установленном порядке формы отчетности о работе с заявителями и потребителями услуг, шт.</t>
  </si>
  <si>
    <t>Наличие телефонной связи для обращений потребителей услуг к уполномоченным должностным лицам территориальной сетевой организации,</t>
  </si>
  <si>
    <t>2.1</t>
  </si>
  <si>
    <t>Наличие единого телефонного номера для приема обращений потребителей услуг (наличие - 1, отсутствие - 0)</t>
  </si>
  <si>
    <t>2.2</t>
  </si>
  <si>
    <t>Наличие информационно-справочной системы для автоматизации обработки обращений потребителей услуг, поступивших по телефону (наличие - 1, отсутствие - 0)</t>
  </si>
  <si>
    <t>2.3</t>
  </si>
  <si>
    <t>Наличие системы автоинформирования потребителей услуг по телефону, предназначенной для доведения до них типовой информации (наличие - 1, отсутствие - 0)</t>
  </si>
  <si>
    <t>Наличие в сети Интернет сайта территориальной сетевой организации с возможностью обмена информацией с потребителями услуг посредством электронной почты (наличие - 1, отсутствие - 0)</t>
  </si>
  <si>
    <t>Проведение мероприятий по доведению до сведения потребителей услуг необходимой информации, в том числе путем ее размещения в сети Интернет, на бумажных носителях или иными доступными способами (проведение - 1, отсутствие - 0)</t>
  </si>
  <si>
    <t>Простота и доступность схемы обжалования потребителями услуг действий должностных лиц территориальной сетевой организации, по критерию</t>
  </si>
  <si>
    <t>обратная</t>
  </si>
  <si>
    <t>5.1</t>
  </si>
  <si>
    <t>Общее количество обращений потребителей услуг о проведении консультаций по порядку обжалования действий (бездействия) территориальной сетевой организации в ходе исполнения своих функций в процентах от общего количества поступивших обращений, %</t>
  </si>
  <si>
    <t>Степень полноты, актуальности и достоверности предоставляемой потребителям услуг информации о деятельности территориальной сетевой организации - всего,</t>
  </si>
  <si>
    <t>6.1</t>
  </si>
  <si>
    <t>Общее количество обращений потребителей услуг о проведении консультаций по вопросам деятельности территориальной сетевой организации в процентах от общего количества поступивших обращений, %</t>
  </si>
  <si>
    <t>6.2</t>
  </si>
  <si>
    <t>Количество обращений потребителей услуг с указанием на отсутствие необходимой информации, которая должна быть раскрыта территориальной сетевой организацией в соответствии с нормативными правовыми актами, в процентах от общего количества поступивших обращений, %</t>
  </si>
  <si>
    <t>Итого по индикатору информативности (Ин)</t>
  </si>
  <si>
    <t>ФИО</t>
  </si>
  <si>
    <t>Подпись</t>
  </si>
  <si>
    <r>
      <rPr>
        <sz val="9"/>
        <rFont val="Tahoma"/>
        <family val="2"/>
        <charset val="204"/>
      </rPr>
      <t>Форма 2.2. Расчет значения индикатора исполнительности</t>
    </r>
  </si>
  <si>
    <t>Зависи-мость</t>
  </si>
  <si>
    <t>Оценоч-ный_x000D_
балл</t>
  </si>
  <si>
    <t>фактическое_x000D_
(Ф)</t>
  </si>
  <si>
    <t>плановое_x000D_
(П)</t>
  </si>
  <si>
    <t>Соблюдение сроков по процедурам взаимодействия с потребителями услуг (заявителями) - всего,</t>
  </si>
  <si>
    <t>Среднее время, затраченное территориальной сетевой организацией на направление проекта договора оказания услуг по передаче электрической энергии потребителю услуг (заявителю), дней</t>
  </si>
  <si>
    <t>Среднее время, необходимое для оборудования точки поставки приборами учета с момента подачи заявления потребителем услуг:</t>
  </si>
  <si>
    <t>а) для физических лиц, включая индивидуальных предпринимателей, и юридических лиц - субъектов малого и среднего предпринимательства, дней</t>
  </si>
  <si>
    <t>б) для остальных потребителей услуг, дней</t>
  </si>
  <si>
    <t>1.3</t>
  </si>
  <si>
    <t>Количество случаев отказа от заключения и случаев расторжения потребителем услуг договоров оказания услуг по передаче электрической энергии в процентах от общего количества заключенных территориальной сетевой организацией договоров с потребителями услуг (заявителями), кроме физических лиц, %</t>
  </si>
  <si>
    <t>Соблюдение требований нормативных правовых актов Российской Федерации по поддержанию качества электрической энергии, по критерию</t>
  </si>
  <si>
    <t>Количество обращений потребителей услуг с указанием на ненадлежащее качество электрической энергии, в процентах от общего количества поступивших обращений, %</t>
  </si>
  <si>
    <t>Наличие взаимодействия с потребителями услуг при выводе оборудования в ремонт и (или) из эксплуатации</t>
  </si>
  <si>
    <t>3.1</t>
  </si>
  <si>
    <t>Наличие (отсутствие) установленной процедуры согласования с потребителями услуг графиков вывода электросетевого оборудования в ремонт и (или) из эксплуатации (наличие - 1, отсутствие - 0)</t>
  </si>
  <si>
    <t>3.2</t>
  </si>
  <si>
    <t>Количество обращений потребителей услуг с указанием на несогласие введения предлагаемых территориальной сетевой организацией графиков вывода электросетевого оборудования в ремонт и (или) из эксплуатации, в процентах от общего количества поступивших обращений, кроме физических лиц, %</t>
  </si>
  <si>
    <t>Соблюдение требований нормативных правовых актов по защите персональных данных потребителей услуг (заявителей), по критерию</t>
  </si>
  <si>
    <t>4.1</t>
  </si>
  <si>
    <t>Количество обращений потребителей услуг (заявителей) с указанием на неправомерность использования персональных данных потребителей услуг (заявителей), в процентах от общего количества поступивших обращений, %</t>
  </si>
  <si>
    <t>Итого по индикатору исполнительности (Ис)</t>
  </si>
  <si>
    <r>
      <rPr>
        <sz val="9"/>
        <rFont val="Tahoma"/>
        <family val="2"/>
        <charset val="204"/>
      </rPr>
      <t>Форма 2.3. Расчет значения индикатора результативности обратной связи</t>
    </r>
  </si>
  <si>
    <t>Наличие структурного подразделения территориальной сетевой организации по рассмотрению, обработке и принятию мер по обращениям потребителей услуг (наличие - 1, отсутствие - 0)</t>
  </si>
  <si>
    <t>Степень удовлетворения обращений потребителей услуг</t>
  </si>
  <si>
    <t>Общее количество обращений потребителей услуг с указанием на ненадлежащее качество услуг по передаче электрической энергии и обслуживание, в процентах от общего количества поступивших обращений, %</t>
  </si>
  <si>
    <t>Количество принятых мер по результатам рассмотрения обращений потребителей услуг с указанием на ненадлежащее качество услуг по передаче электрической энергии и обслуживание, в процентах от общего количества поступивших обращений, %</t>
  </si>
  <si>
    <t>Количество обращений,  связанных с неудовлетворенностью принятыми мерами, указанными в п. 2.2 настоящей формы, поступивших от потребителей услуг в течение 30 рабочих дней после завершения мероприятий, указанных в п. 2.2 настоящей формы, в процентах от общего количества поступивших обращений, %</t>
  </si>
  <si>
    <t>2.4</t>
  </si>
  <si>
    <t>Количество обращений потребителей услуг с указанием на ненадлежащее качество услуг, оказываемых территориальной сетевой организацией, поступивших в соответствующий контролирующий орган исполнительной власти, в процентах от общего количества поступивших обращений, %</t>
  </si>
  <si>
    <t>2.5</t>
  </si>
  <si>
    <t>Количество отзывов и предложений по вопросам деятельности территориальной сетевой организации, поступивших через обратную связь, в процентах от общего количества поступивших обращений, %</t>
  </si>
  <si>
    <t>2.6</t>
  </si>
  <si>
    <t>Количество реализованных изменений в деятельности организации, направленных на повышение качества обслуживания потребителей услуг, шт.</t>
  </si>
  <si>
    <t>Оперативность реагирования на обращения потребителей услуг - всего,</t>
  </si>
  <si>
    <t>Средняя продолжительность времени принятия мер по результатам обращения потребителя услуг, дней</t>
  </si>
  <si>
    <t>Взаимодействие территориальной сетевой организации с потребителями услуг с целью получения информации о качестве обслуживания, реализованное посредством:</t>
  </si>
  <si>
    <t>3.2.1</t>
  </si>
  <si>
    <t>а) письменных опросов, шт. на 1000 потребителей услуг</t>
  </si>
  <si>
    <t>3.2.2</t>
  </si>
  <si>
    <t>б) электронной связи через сеть Интернет, шт. на 1000 потребителей услуг</t>
  </si>
  <si>
    <t>3.2.3</t>
  </si>
  <si>
    <t>в)* системы автоинформирования, шт. на 1000 потребителей услуг</t>
  </si>
  <si>
    <t>Индивидуальность подхода к потребителям услуг льготных категорий, по критерию</t>
  </si>
  <si>
    <t>Количество обращений потребителей услуг льготных категорий с указанием на неудовлетворительность качества их обслуживания, шт. на 1000 потребителей услуг</t>
  </si>
  <si>
    <t>Оперативность возмещения убытков потребителям услуг при несоблюдении территориальной сетевой организацией обязательств, предусмотренных нормативными правовыми актами и договорами</t>
  </si>
  <si>
    <t>Средняя продолжительность времени на принятие территориальной сетевой организацией мер по возмещению потребителю услуг убытков, месяцев</t>
  </si>
  <si>
    <t>5.2</t>
  </si>
  <si>
    <t>Доля потребителей услуг, получивших возмещение убытков, возникших в результате неисполнения (ненадлежащего исполнения) территориальной сетевой организацией своих обязательств, от числа потребителей, в пользу которых было вынесено судебное решение, или возмещение было произведено во внесудебном порядке, %</t>
  </si>
  <si>
    <t>Итого по индикатору результативности обратной связи (Рс)</t>
  </si>
  <si>
    <t>* Расчет производится при наличии в территориальной сетевой организации Системы автоинформирования (голосовая, СМС и другим способом).</t>
  </si>
  <si>
    <t>Форма 1.3. Расчет показателя средней продолжительности прекращения передачи электрической энергии потребителям услуг и показателя средней частоты прекращений передачи электрической энергии потребителям услуг сетевой организации, долгосрочный период регулирования которой начался с 2018 года по 2023 год включительно</t>
  </si>
  <si>
    <t>Наименование показателя</t>
  </si>
  <si>
    <t>Максимальное за расчетный период регулирования число точек поставки потребителей услуг сетевой организации, шт.</t>
  </si>
  <si>
    <t>Средняя продолжительность прекращения передачи электрической энергии на точку поставки (Пsaidi), час</t>
  </si>
  <si>
    <t>Средняя частота прекращений передачи электрической энергии на точку поставки (Пsaifi), шт.</t>
  </si>
  <si>
    <t>ТИП.ВЕР</t>
  </si>
  <si>
    <t>Версия регулятора</t>
  </si>
  <si>
    <t>Форма 1.3.1. Расчет показателя средней продолжительности прекращения передачи электрической энергии потребителям услуг и показателя средней частоты прекращений передачи электрической энергии потребителям услуг сетевой организации, долгосрочный период регулирования которой начинается с 2024 года</t>
  </si>
  <si>
    <t>Число точек поставки сетевой организации за расчетный период регулирования, в том числе по уровням напряжения, шт.</t>
  </si>
  <si>
    <t>Число точек поставки сетевой организации за расчетный период регулирования, в том числе по уровням напряжения, шт.:</t>
  </si>
  <si>
    <t>L.2</t>
  </si>
  <si>
    <t>Число точек поставки сетевой организации за расчетный период регулирования, в том числе по уровням напряжения, шт.. ВН (110 кВ и выше), шт.</t>
  </si>
  <si>
    <t>ВН (110 кВ и выше), шт.</t>
  </si>
  <si>
    <t>L.3</t>
  </si>
  <si>
    <t>Число точек поставки сетевой организации за расчетный период регулирования, в том числе по уровням напряжения, шт.. СН1 (27,5 - 60 кВ), шт.</t>
  </si>
  <si>
    <t>СН1 (27,5 - 60 кВ), шт.</t>
  </si>
  <si>
    <t>L.4</t>
  </si>
  <si>
    <t>Число точек поставки сетевой организации за расчетный период регулирования, в том числе по уровням напряжения, шт.. СН2 (1 - 20 кВ), шт.</t>
  </si>
  <si>
    <t>СН2 (1 - 20 кВ), шт.</t>
  </si>
  <si>
    <t>L.5</t>
  </si>
  <si>
    <t>Число точек поставки сетевой организации за расчетный период регулирования, в том числе по уровням напряжения, шт.. НН (до 1 кВ), шт.</t>
  </si>
  <si>
    <t>1.4</t>
  </si>
  <si>
    <t>НН (до 1 кВ), шт.</t>
  </si>
  <si>
    <t>L.6</t>
  </si>
  <si>
    <t>Показатель средней продолжительности прекращений передачи электрической энергии на точку поставки по уровню напряжения ВН (П saidiВН), ч</t>
  </si>
  <si>
    <t>Показатель средней продолжительности прекращений передачи электрической энергии на точку поставки по уровню напряжения ВН (П saidiВН), ч</t>
  </si>
  <si>
    <t>L.7</t>
  </si>
  <si>
    <t>Показатель средней продолжительности прекращений передачи электрической энергии на точку поставки по уровню напряжения CH1 (П saidiCH1), ч</t>
  </si>
  <si>
    <t>Показатель средней продолжительности прекращений передачи электрической энергии на точку поставки по уровню напряжения CH1 (П saidiCH1), ч</t>
  </si>
  <si>
    <t>L.8</t>
  </si>
  <si>
    <t>Показатель средней продолжительности прекращений передачи электрической энергии на точку поставки по уровню напряжения СН2 (П saidiCH2), ч</t>
  </si>
  <si>
    <t>Показатель средней продолжительности прекращений передачи электрической энергии на точку поставки по уровню напряжения СН2 (П saidiCH2), ч</t>
  </si>
  <si>
    <t>L.9</t>
  </si>
  <si>
    <t>Показатель средней продолжительности прекращений передачи электрической энергии на точку поставки по уровню напряжения НН (П saidiНН), ч</t>
  </si>
  <si>
    <t>Показатель средней продолжительности прекращений передачи электрической энергии на точку поставки по уровню напряжения НН (П saidiНН), ч</t>
  </si>
  <si>
    <t>L.10</t>
  </si>
  <si>
    <t>Показатель средней частоты прекращений передачи электрической энергии на точку поставки по уровню напряжения ВН (П saifiВН), шт.</t>
  </si>
  <si>
    <t>Показатель средней частоты прекращений передачи электрической энергии на точку поставки по уровню напряжения ВН (П saifiВН), шт.</t>
  </si>
  <si>
    <t>L.11</t>
  </si>
  <si>
    <t>Показатель средней частоты прекращений передачи электрической энергии на точку поставки по уровню напряжения CH1 (П saifiCH1), шт.</t>
  </si>
  <si>
    <t>Показатель средней частоты прекращений передачи электрической энергии на точку поставки по уровню напряжения CH1 (П saifiCH1), шт.</t>
  </si>
  <si>
    <t>L.12</t>
  </si>
  <si>
    <t>Показатель средней частоты прекращений передачи электрической энергии на точку поставки по уровню напряжения СН2 (П saifiCH2), шт.</t>
  </si>
  <si>
    <t>Показатель средней частоты прекращений передачи электрической энергии на точку поставки по уровню напряжения СН2 (П saifiCH2), шт.</t>
  </si>
  <si>
    <t>L.13</t>
  </si>
  <si>
    <t>Показатель средней частоты прекращений передачи электрической энергии на точку поставки по уровню напряжения НН (П saifiHH), шт.</t>
  </si>
  <si>
    <t>Показатель средней частоты прекращений передачи электрической энергии на точку поставки по уровню напряжения НН (П saifiHH), шт.</t>
  </si>
  <si>
    <t>startTermination</t>
  </si>
  <si>
    <t>endTermination</t>
  </si>
  <si>
    <t>typeTermination</t>
  </si>
  <si>
    <t>timeTermination</t>
  </si>
  <si>
    <t>listObjects</t>
  </si>
  <si>
    <t>listUsersFull</t>
  </si>
  <si>
    <t>listUsersPart</t>
  </si>
  <si>
    <t>numberDateAct</t>
  </si>
  <si>
    <t>codeOrgReason</t>
  </si>
  <si>
    <t>codeTechReason</t>
  </si>
  <si>
    <t>countReliab</t>
  </si>
  <si>
    <t>orgClick</t>
  </si>
  <si>
    <t>countReliab_VR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</si>
  <si>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</si>
  <si>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</si>
  <si>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</si>
  <si>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_x000D_
передачи электрической энергии и их расследовании</t>
  </si>
  <si>
    <t>Учет в показателях надежности, в т.ч. индикативных показателях надежности _x000D_
(0 - нет, 1 - да)</t>
  </si>
  <si>
    <t>Смежная сетевая организация, являющаяся причиной прекращения передачи электрической энергии</t>
  </si>
  <si>
    <t>Ссылки на акт расследования</t>
  </si>
  <si>
    <t>Наименование структурной единицы сетевой организации</t>
  </si>
  <si>
    <r>
      <t xml:space="preserve">Вид объекта: </t>
    </r>
    <r>
      <rPr>
        <sz val="7"/>
        <rFont val="Tahoma"/>
        <family val="2"/>
        <charset val="204"/>
      </rPr>
      <t>Кабельная линия (далее - КЛ),Воздушная линия (далее - ВЛ), Кабельно-воздушная линия (далее - КВЛ), Подстанция (далее - ПС), Трансформаторная подстанция (далее - ТП), Распредели тельный пункт (далее - РП)</t>
    </r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</si>
  <si>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</si>
  <si>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t>Высший класс напряжения отключенного оборудования, кВ</t>
  </si>
  <si>
    <t>Время и дата начала прекращения передачи электрической энергии (часы, минуты, год, месяц, день)</t>
  </si>
  <si>
    <t>Время и дата восстановления режима потребления электрической энергии потребителей услуг (часы, минуты, год, месяц, день)</t>
  </si>
  <si>
    <t>Вид прекращения передачи электроэнергии  (П, А, В)</t>
  </si>
  <si>
    <t>Продолжительность прекращения передачи электрической энергии, ч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</si>
  <si>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</si>
  <si>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</si>
  <si>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 й и 2- 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</si>
  <si>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_x000D_
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</si>
  <si>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</si>
  <si>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Номер и дата акта расследования технологического нарушения, записи в оперативном журнале</t>
  </si>
  <si>
    <t>Код технической причины повреждения оборудования</t>
  </si>
  <si>
    <t>Комментарий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</si>
  <si>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</si>
  <si>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</si>
  <si>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энергопринимающих устройств потребителей электрической энергии</t>
  </si>
  <si>
    <t>Смежные сетевые организации и производители электрической энергии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</si>
  <si>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</si>
  <si>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</si>
  <si>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</si>
  <si>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</si>
  <si>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 1 (27, 5 - 60 кВ)</t>
  </si>
  <si>
    <t>СН 2 (1 - 20 кВ)</t>
  </si>
  <si>
    <t>НН (до 1 кВ)</t>
  </si>
  <si>
    <t>28</t>
  </si>
  <si>
    <t>1.0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</si>
  <si>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</si>
  <si>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</si>
  <si>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</si>
  <si>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</si>
  <si>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</si>
  <si>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</si>
  <si>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</si>
  <si>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</si>
  <si>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</si>
  <si>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</si>
  <si>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</si>
  <si>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</si>
  <si>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</si>
  <si>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</si>
  <si>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</si>
  <si>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</si>
  <si>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</si>
  <si>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</si>
  <si>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</si>
  <si>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</si>
  <si>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</si>
  <si>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</si>
  <si>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</si>
  <si>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</si>
  <si>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</si>
  <si>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</si>
  <si>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</si>
  <si>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</si>
  <si>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</si>
  <si>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</si>
  <si>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</si>
  <si>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</si>
  <si>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</si>
  <si>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</si>
  <si>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</si>
  <si>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</si>
  <si>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</si>
  <si>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</si>
  <si>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</si>
  <si>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</si>
  <si>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</si>
  <si>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</si>
  <si>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</si>
  <si>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</si>
  <si>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</si>
  <si>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</si>
  <si>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</si>
  <si>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</si>
  <si>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</si>
  <si>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</si>
  <si>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</si>
  <si>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</si>
  <si>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</si>
  <si>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</si>
  <si>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</si>
  <si>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</si>
  <si>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</si>
  <si>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</si>
  <si>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</si>
  <si>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</si>
  <si>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</si>
  <si>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</si>
  <si>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</si>
  <si>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</si>
  <si>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</si>
  <si>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</si>
  <si>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</si>
  <si>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</si>
  <si>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</si>
  <si>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</si>
  <si>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</si>
  <si>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</si>
  <si>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</si>
  <si>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</si>
  <si>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</si>
  <si>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</si>
  <si>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</si>
  <si>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</si>
  <si>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</si>
  <si>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</si>
  <si>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</si>
  <si>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</si>
  <si>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</si>
  <si>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</si>
  <si>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</si>
  <si>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</si>
  <si>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</si>
  <si>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</si>
  <si>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</si>
  <si>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</si>
  <si>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</si>
  <si>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</si>
  <si>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</si>
  <si>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</si>
  <si>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</si>
  <si>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</si>
  <si>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1.101</t>
  </si>
  <si>
    <t>1.102</t>
  </si>
  <si>
    <t>1.103</t>
  </si>
  <si>
    <t>1.104</t>
  </si>
  <si>
    <t>1.105</t>
  </si>
  <si>
    <t>1.106</t>
  </si>
  <si>
    <t>1.107</t>
  </si>
  <si>
    <t>1.108</t>
  </si>
  <si>
    <t>1.109</t>
  </si>
  <si>
    <t>1.110</t>
  </si>
  <si>
    <t>1.111</t>
  </si>
  <si>
    <t>1.112</t>
  </si>
  <si>
    <t>1.113</t>
  </si>
  <si>
    <t>1.114</t>
  </si>
  <si>
    <t>1.115</t>
  </si>
  <si>
    <t>1.116</t>
  </si>
  <si>
    <t>1.117</t>
  </si>
  <si>
    <t>1.118</t>
  </si>
  <si>
    <t>1.119</t>
  </si>
  <si>
    <t>1.120</t>
  </si>
  <si>
    <t>1.121</t>
  </si>
  <si>
    <t>1.122</t>
  </si>
  <si>
    <t>1.123</t>
  </si>
  <si>
    <t>1.124</t>
  </si>
  <si>
    <t>1.125</t>
  </si>
  <si>
    <t>1.126</t>
  </si>
  <si>
    <t>1.127</t>
  </si>
  <si>
    <t>1.128</t>
  </si>
  <si>
    <t>1.129</t>
  </si>
  <si>
    <t>1.130</t>
  </si>
  <si>
    <t>1.131</t>
  </si>
  <si>
    <t>1.132</t>
  </si>
  <si>
    <t>1.133</t>
  </si>
  <si>
    <t>1.134</t>
  </si>
  <si>
    <t>1.135</t>
  </si>
  <si>
    <t>1.136</t>
  </si>
  <si>
    <t>1.137</t>
  </si>
  <si>
    <t>1.138</t>
  </si>
  <si>
    <t>1.139</t>
  </si>
  <si>
    <t>1.140</t>
  </si>
  <si>
    <t>1.141</t>
  </si>
  <si>
    <t>1.142</t>
  </si>
  <si>
    <t>1.143</t>
  </si>
  <si>
    <t>1.144</t>
  </si>
  <si>
    <t>1.145</t>
  </si>
  <si>
    <t>1.146</t>
  </si>
  <si>
    <t>1.147</t>
  </si>
  <si>
    <t>1.148</t>
  </si>
  <si>
    <t>1.149</t>
  </si>
  <si>
    <t>1.150</t>
  </si>
  <si>
    <t>1.151</t>
  </si>
  <si>
    <t>1.152</t>
  </si>
  <si>
    <t>1.153</t>
  </si>
  <si>
    <t>1.154</t>
  </si>
  <si>
    <t>1.155</t>
  </si>
  <si>
    <t>1.156</t>
  </si>
  <si>
    <t>1.157</t>
  </si>
  <si>
    <t>1.158</t>
  </si>
  <si>
    <t>1.159</t>
  </si>
  <si>
    <t>1.160</t>
  </si>
  <si>
    <t>1.161</t>
  </si>
  <si>
    <t>1.162</t>
  </si>
  <si>
    <t>1.163</t>
  </si>
  <si>
    <t>1.164</t>
  </si>
  <si>
    <t>1.165</t>
  </si>
  <si>
    <t>1.166</t>
  </si>
  <si>
    <t>1.167</t>
  </si>
  <si>
    <t>1.168</t>
  </si>
  <si>
    <t>1.169</t>
  </si>
  <si>
    <t>1.170</t>
  </si>
  <si>
    <t>1.171</t>
  </si>
  <si>
    <t>1.172</t>
  </si>
  <si>
    <t>1.173</t>
  </si>
  <si>
    <t>1.174</t>
  </si>
  <si>
    <t>1.175</t>
  </si>
  <si>
    <t>1.176</t>
  </si>
  <si>
    <t>1.177</t>
  </si>
  <si>
    <t>1.178</t>
  </si>
  <si>
    <t>1.179</t>
  </si>
  <si>
    <t>1.180</t>
  </si>
  <si>
    <t>1.181</t>
  </si>
  <si>
    <t>1.182</t>
  </si>
  <si>
    <t>1.183</t>
  </si>
  <si>
    <t>1.184</t>
  </si>
  <si>
    <t>1.185</t>
  </si>
  <si>
    <t>1.186</t>
  </si>
  <si>
    <t>1.187</t>
  </si>
  <si>
    <t>1.188</t>
  </si>
  <si>
    <t>1.189</t>
  </si>
  <si>
    <t>1.190</t>
  </si>
  <si>
    <t>1.191</t>
  </si>
  <si>
    <t>1.192</t>
  </si>
  <si>
    <t>1.193</t>
  </si>
  <si>
    <t>1.194</t>
  </si>
  <si>
    <t>1.195</t>
  </si>
  <si>
    <t>1.196</t>
  </si>
  <si>
    <t>1.197</t>
  </si>
  <si>
    <t>1.198</t>
  </si>
  <si>
    <t>1.199</t>
  </si>
  <si>
    <t>1.200</t>
  </si>
  <si>
    <t>1.201</t>
  </si>
  <si>
    <t>1.202</t>
  </si>
  <si>
    <t>1.203</t>
  </si>
  <si>
    <t>1.204</t>
  </si>
  <si>
    <t>1.205</t>
  </si>
  <si>
    <t>1.206</t>
  </si>
  <si>
    <t>1.207</t>
  </si>
  <si>
    <t>Добавить строку</t>
  </si>
  <si>
    <t>ИТОГО по всем прекращениям передачи электрической энергии за отчетный период:</t>
  </si>
  <si>
    <t>И</t>
  </si>
  <si>
    <t>по ограничениям, связанным с проведением ремонтных работ</t>
  </si>
  <si>
    <t>по аварийным ограничениям</t>
  </si>
  <si>
    <t>по внерегламентным отключениям</t>
  </si>
  <si>
    <t>по внерегламентным отключениям, учитываемым при расчете индикативных показателей надежности</t>
  </si>
  <si>
    <t>В1</t>
  </si>
  <si>
    <t>Форма 8.1.1. Ведомость присоединений потребителей услуг сетевой организации. (Свод)</t>
  </si>
  <si>
    <t>Месяц</t>
  </si>
  <si>
    <t>Количество точек поставки потребителей услуг сетевой организации, присоединенных к первичному уровню присоединения, шт</t>
  </si>
  <si>
    <t>Количество точек поставки потребителей услуг сетевой организации, присоединенных к первичному уровню присоединения, шт (версия регулятора)</t>
  </si>
  <si>
    <t>Помесячная расшифровка по форме 8.1.1 Приказ Министерства энергетики РФ от 29 ноября 2016 г. N 1256 (разместить ссылку на файл с расшифровкой)</t>
  </si>
  <si>
    <t xml:space="preserve">Примечание </t>
  </si>
  <si>
    <t>в разделении уровней напряжения ЭПУ потребителей электрической энергии</t>
  </si>
  <si>
    <t>СН1 (35 кВ)</t>
  </si>
  <si>
    <t>СН2 (6 - 20 кВ)</t>
  </si>
  <si>
    <t>НН (ниже 1 кВ)</t>
  </si>
  <si>
    <t>Январь</t>
  </si>
  <si>
    <r>
      <t xml:space="preserve">В столбце «Помесячная расшифровка по форме 8.1.1 Приказ Министерства энергетики РФ от 29 ноября 2016 г. N 1256» должна быть размещена ссылка на размещённый в хранилище документов заполненный шаблон с помесячной детализацией. В хранилище документов необходимо разместить Ведомость присоединений потребителей услуг, по форме 8.1.1. за каждый месяц отчетного периода.                                                                                       </t>
    </r>
    <r>
      <rPr>
        <b/>
        <sz val="10"/>
        <color theme="9" tint="-0.249977111117893"/>
        <rFont val="Tahoma"/>
        <family val="2"/>
        <charset val="204"/>
      </rPr>
      <t>Двойной клик по этой ячейке откроет диалог скачивания шаблона для помесячной расшифровки точек поставки.</t>
    </r>
    <r>
      <rPr>
        <b/>
        <sz val="10"/>
        <color rgb="FF000000"/>
        <rFont val="Tahoma"/>
        <family val="2"/>
        <charset val="204"/>
      </rPr>
      <t xml:space="preserve">_x000D_
</t>
    </r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</si>
  <si>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</si>
  <si>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</si>
  <si>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</si>
  <si>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</si>
  <si>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</si>
  <si>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</si>
  <si>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</si>
  <si>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</si>
  <si>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</si>
  <si>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</si>
  <si>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</si>
  <si>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Форма 8.3. Расчет индикативного показателя уровня надежности оказываемых услуг для территориальных сетевых организаций и организации по управлению единой национальной (общероссийской) электрической сетью, долгосрочный период регулирования которых начался в период с 2018 года до 2023 года включительно</t>
  </si>
  <si>
    <t>СН1 (27,5 - 60 кВ),шт.</t>
  </si>
  <si>
    <t>Показатель средней продолжительности прекращений передачи электрической энергии на точку поставки по уровню напряжения ВН (П saidiBH), ч</t>
  </si>
  <si>
    <t>Показатель средней продолжительности прекращений передачи электрической энергии на точку поставки по уровню напряжения НН (П saidiHH), ч</t>
  </si>
  <si>
    <t>Показатель средней частоты прекращений передачи электрической энергии на точку поставки по уровню напряжения ВН (П saifiBH), шт.</t>
  </si>
  <si>
    <t>Показатель средней частоты прекращений передачи электрической энергии на точку поставки по уровню напряжения СН1 (П saifiCH1), шт.</t>
  </si>
  <si>
    <t>Средняя продолжительность прекращения передачи электрической энергии при проведении ремонтных работ (П saidi,рем), в том числе дифференцированная по уровням напряжения, ч</t>
  </si>
  <si>
    <t>10.1</t>
  </si>
  <si>
    <t>Средняя продолжительность прекращения передачи электрической энергии при проведении ремонтных работ по уровню напряжения ВН (П saidiBH,рем), ч</t>
  </si>
  <si>
    <t>10.2</t>
  </si>
  <si>
    <t>Средняя продолжительность прекращения передачи электрической энергии при проведении ремонтных работ по уровню напряжения СН1 (П saidiCH1,рем), ч</t>
  </si>
  <si>
    <t>10.3</t>
  </si>
  <si>
    <t>Средняя продолжительность прекращения передачи электрической энергии при проведении ремонтных работ по уровню напряжения СН2 (П saidiCH2,рем), ч</t>
  </si>
  <si>
    <t>10.4</t>
  </si>
  <si>
    <t>Средняя продолжительность прекращения передачи электрической энергии при проведении ремонтных работ по уровню напряжения НН (П saidiHH,рем), ч</t>
  </si>
  <si>
    <t>Средняя частота прекращений передачи электрической энергии при проведении ремонтных работ (П saifi,рем), в том числе дифференцированная по уровням напряжения, шт.</t>
  </si>
  <si>
    <t>11.1</t>
  </si>
  <si>
    <t>Средняя частота прекращений передачи электрической энергии при проведении ремонтных работ по уровню напряжения ВН (П saifiBH,рем), шт.</t>
  </si>
  <si>
    <t>11.2</t>
  </si>
  <si>
    <t>Средняя частота прекращений передачи электрической энергии при проведении ремонтных работ по уровню напряжения CH1 (П saifiCH1,рем), шт.</t>
  </si>
  <si>
    <t>11.3</t>
  </si>
  <si>
    <t>Средняя частота прекращений передачи электрической энергии при проведении ремонтных работ по уровню напряжения СН2 (П saifiCH2,рем), шт.</t>
  </si>
  <si>
    <t>11.4</t>
  </si>
  <si>
    <t>Средняя частота прекращений передачи электрической энергии при проведении ремонтных работ по уровню напряжения НН (П saifiHH,рем), шт.</t>
  </si>
  <si>
    <t>Форма 8.3.1. Расчет индикативного показателя уровня надежности оказываемых услуг для территориальных сетевых организаций и организации по управлению единой национальной (общероссийской) электрической сетью, долгосрочный период регулирования которых начинается с 2024 года</t>
  </si>
  <si>
    <t>Средняя продолжительность прекращения передачи электрической энергии на точку поставки (П saidi), в том числе дифференцированная по уровням напряжения, ч</t>
  </si>
  <si>
    <t>Средняя частота прекращений передачи электрической энергии на точку поставки (П saifi), в том числе дифференцированная по уровням напряжения, шт.</t>
  </si>
  <si>
    <t>4.2</t>
  </si>
  <si>
    <t>4.3</t>
  </si>
  <si>
    <t>4.4</t>
  </si>
  <si>
    <t>Средняя продолжительность прекращения передачи электрической энергии при проведении ремонтных работ по уровню напряжения НН (П saidiНН,рем), ч</t>
  </si>
  <si>
    <t>5.3</t>
  </si>
  <si>
    <t>5.4</t>
  </si>
  <si>
    <t>Средняя частота прекращений передачи электрической энергии при проведении ремонтных работ по уровню напряжения НН (П saifiНН,рем), шт</t>
  </si>
  <si>
    <t xml:space="preserve">(без НДС) </t>
  </si>
  <si>
    <t>Подано заявок на технологическое присоединение</t>
  </si>
  <si>
    <t>Заключено абонентских договоров</t>
  </si>
  <si>
    <t>количество (шт.)</t>
  </si>
  <si>
    <t xml:space="preserve">мощность (МВт) </t>
  </si>
  <si>
    <t xml:space="preserve">сумма_x000D_
(тыс. руб.) </t>
  </si>
  <si>
    <t xml:space="preserve">За все периоды регулирования (в том числе предыдущих лет) </t>
  </si>
  <si>
    <t>За отчетный период</t>
  </si>
  <si>
    <t>Заявки на технологическое присоединение энергопринимающих устройств к электрическим сетям</t>
  </si>
  <si>
    <t>Договор об осуществлении технологического присоединения</t>
  </si>
  <si>
    <t>№ заявки</t>
  </si>
  <si>
    <t>Дата поступления</t>
  </si>
  <si>
    <t xml:space="preserve">Заявитель </t>
  </si>
  <si>
    <t xml:space="preserve">Запрашиваемая мощность, кВт </t>
  </si>
  <si>
    <t>Уровень напряжения, кВ</t>
  </si>
  <si>
    <t>№ ПС</t>
  </si>
  <si>
    <t xml:space="preserve">Адрес объекта присоединения </t>
  </si>
  <si>
    <t>Присоединение по индивидуальному проекту (да/нет)</t>
  </si>
  <si>
    <t>Схема ТП (постоянная/ временная)</t>
  </si>
  <si>
    <t>Необходимость согласования ТУ с системным оператором (да/нет)</t>
  </si>
  <si>
    <t>Дата направления проекта договора</t>
  </si>
  <si>
    <t>Нормативный срок рассмотрения заявки, дн.</t>
  </si>
  <si>
    <t>Фактический срок рассмотрения заявки, дн.</t>
  </si>
  <si>
    <t>Нарушение сроков направления договора (оферты)</t>
  </si>
  <si>
    <t>№ договора</t>
  </si>
  <si>
    <t>Дата договора</t>
  </si>
  <si>
    <t>Сумма, тыс. руб. без НДС</t>
  </si>
  <si>
    <t>Примечания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</si>
  <si>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</si>
  <si>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</si>
  <si>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</si>
  <si>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</si>
  <si>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</si>
  <si>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</si>
  <si>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</si>
  <si>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</si>
  <si>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</si>
  <si>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</si>
  <si>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 xml:space="preserve"> Заявители, подавшие заявки на технологическое присоединение энергопринимающих устройств, за исключением указанных в пунктах 2 - 4</t>
  </si>
  <si>
    <t>Добавить</t>
  </si>
  <si>
    <t>Заявители, подавшие заявки на технологическое присоединение энергопринимающих устройств максимальной мощностью до 15 кВт включительно (с учетом ранее присоединенной в данной точке присоединения мощности), при условии, что расстояние от границ участка Заявителя до объектов электросетевого хозяйства необходимого заявителю уровня напряжения сетевой организации составляет не более 300 метров (размер платы - 550 руб. с НДС)</t>
  </si>
  <si>
    <t>2.0</t>
  </si>
  <si>
    <t>Заявители, подавшие заявки на технологическое присоединение энергопринимающих устройств максимальной мощностью свыше 15 кВт и до 150 кВт включительно (с учетом ранее присоединенной в данной точке присоединения мощности), при оплате технологического присоединения с рассрочкой</t>
  </si>
  <si>
    <t>3.0</t>
  </si>
  <si>
    <t>Заявители, подавшие заявки на технологическое присоединение энергопринимающих устройств максимальной мощностью до 150 кВт включительно, расходы на выполнение мероприятий по строительству "последней мили" по которым не включаются в состав платы за технологическое присоединение</t>
  </si>
  <si>
    <t>4.0</t>
  </si>
  <si>
    <t>hasGulty</t>
  </si>
  <si>
    <t xml:space="preserve">Сводные данные сетевой организации об исполненных договорах об осуществлении технологического присоединения к электрическим сетям </t>
  </si>
  <si>
    <t>Получено средств в отчетном периоде по абонентским договорам</t>
  </si>
  <si>
    <t>Выполнено обязательств за отчетный период по абонентским договорам</t>
  </si>
  <si>
    <t>сумма (тыс. руб.)</t>
  </si>
  <si>
    <t>Акт об осуществлении технологического присоединения энергопринимающих устройств</t>
  </si>
  <si>
    <t>Фактический срок осуществления технологического присоединения, дн</t>
  </si>
  <si>
    <t>Нормативный срок осуществления технологического присоединения, дн</t>
  </si>
  <si>
    <t>Нарушение сроков технологического присоединения</t>
  </si>
  <si>
    <t>Нарушение сроков по вине заявителя</t>
  </si>
  <si>
    <t>Обосновывающие документы</t>
  </si>
  <si>
    <t xml:space="preserve">Сумма выручки за отчетный период, руб. </t>
  </si>
  <si>
    <t>Налог на прибыль, руб.</t>
  </si>
  <si>
    <t>Дата акта об осуществлении технологического присоединения энергопринимающих устройств</t>
  </si>
  <si>
    <t>Номер договора</t>
  </si>
  <si>
    <t xml:space="preserve">Дата </t>
  </si>
  <si>
    <t xml:space="preserve">Присоединяемая мощность, кВт </t>
  </si>
  <si>
    <t>Сумма по договору, тыс. руб.</t>
  </si>
  <si>
    <t>№ и дата договора капитального строительства</t>
  </si>
  <si>
    <t>Срок оказания услуги по технологическому присоединению</t>
  </si>
  <si>
    <t>№ АТП</t>
  </si>
  <si>
    <t>дата АТП</t>
  </si>
  <si>
    <t>Всего, в т.ч.:</t>
  </si>
  <si>
    <t>расходы на организационно-технические мероприятия</t>
  </si>
  <si>
    <t>расходы на строительство "последней мили"</t>
  </si>
  <si>
    <t>26</t>
  </si>
  <si>
    <t>27</t>
  </si>
  <si>
    <t>29</t>
  </si>
  <si>
    <t>30</t>
  </si>
  <si>
    <t>31</t>
  </si>
  <si>
    <t>32</t>
  </si>
  <si>
    <t>33</t>
  </si>
  <si>
    <t>markAxe_2</t>
  </si>
  <si>
    <t>markAxe_3</t>
  </si>
  <si>
    <t>L2.0.2</t>
  </si>
  <si>
    <t>Число заявок на технологическое присоединение к сети, поданных в соответствии с требованиями нормативных правовых актов, по которым сетевой организацией в соответствующий расчетный период направлен проект договора об осуществлении технологического присоединения заявителей к сети, шт. (Nзаяв_тпр)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</si>
  <si>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</si>
  <si>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L.P22.CN.2.1.2.2.1</t>
  </si>
  <si>
    <t>Число заявок на технологическое присоединение к сети, поданных в соответствии с требованиями нормативных правовых актов, по которым сетевой организацией в соответствующий расчетный период направлен проект договора об осуществлении технологического присоединения заявителей к сети с нарушением установленных сроков его направления, шт. (Nнсзаяв_тпр)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</si>
  <si>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</si>
  <si>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max (1, Nзаяв_тпр - Nнсзаяв_тпр)</t>
  </si>
  <si>
    <t>max (1, Nзаяв_тпр - Nнсзаяв_тпр)</t>
  </si>
  <si>
    <t>Пзаяв_тпр</t>
  </si>
  <si>
    <t>L6.0.2</t>
  </si>
  <si>
    <t>Число договоров об осуществлении технологического присоединения заявителей к сети, исполненных в соответствующем расчетном периоде, по которым имеется подписанный сторонами акт о технологическом присоединении, шт. (Nсд_тпр)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</si>
  <si>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</si>
  <si>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L2.0.3</t>
  </si>
  <si>
    <t>Число договоров об осуществлении технологического присоединения заявителей к сети, исполненных в соответствующем расчетном периоде, по которым имеется подписанный сторонами акт о технологическом присоединении, по которым произошло нарушение установленных сроков технологического присоединения, шт. (Nнссд_тпр)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</si>
  <si>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</si>
  <si>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max (1, Nсд_тпр - Nнссд_тпр)</t>
  </si>
  <si>
    <t>max (1, Nсд_тпр - Nнссд_тпр)</t>
  </si>
  <si>
    <t>Пнс_тпр</t>
  </si>
  <si>
    <t>Показатель уровня качества осуществляемого технологического присоединения к сети,  Птпр</t>
  </si>
  <si>
    <t>Птпр</t>
  </si>
  <si>
    <t>Форма 4.1. Показатели уровня надежности и уровня качества оказываемых услуг _x000D_
сетевой организации (для долгосрочных периодов регулирования, начавшихся с 2018 года)</t>
  </si>
  <si>
    <t>Показатель</t>
  </si>
  <si>
    <t>N формулы (пункта) МУ</t>
  </si>
  <si>
    <r>
      <t>Показатель средней продолжительности прекращений передачи электрической энергии (П</t>
    </r>
    <r>
      <rPr>
        <vertAlign val="subscript"/>
        <sz val="9"/>
        <rFont val="Tahoma"/>
        <family val="2"/>
        <charset val="204"/>
      </rPr>
      <t>п</t>
    </r>
    <r>
      <rPr>
        <sz val="9"/>
        <rFont val="Tahoma"/>
        <family val="2"/>
        <charset val="204"/>
      </rPr>
      <t>)</t>
    </r>
  </si>
  <si>
    <r>
      <t>Объем недоотпущенной электрической энергии (П</t>
    </r>
    <r>
      <rPr>
        <vertAlign val="subscript"/>
        <sz val="9"/>
        <rFont val="Tahoma"/>
        <family val="2"/>
        <charset val="204"/>
      </rPr>
      <t>ens</t>
    </r>
    <r>
      <rPr>
        <sz val="9"/>
        <rFont val="Tahoma"/>
        <family val="2"/>
        <charset val="204"/>
      </rPr>
      <t>)</t>
    </r>
  </si>
  <si>
    <r>
      <t>Показатель средней продолжительности прекращений передачи электрической энергии на точку поставки (П</t>
    </r>
    <r>
      <rPr>
        <vertAlign val="subscript"/>
        <sz val="9"/>
        <rFont val="Tahoma"/>
        <family val="2"/>
        <charset val="204"/>
      </rPr>
      <t>saidi</t>
    </r>
    <r>
      <rPr>
        <sz val="9"/>
        <rFont val="Tahoma"/>
        <family val="2"/>
        <charset val="204"/>
      </rPr>
      <t>)</t>
    </r>
  </si>
  <si>
    <r>
      <t>Показатель средней частоты прекращений передачи электрической энергии на точку поставки (П</t>
    </r>
    <r>
      <rPr>
        <vertAlign val="subscript"/>
        <sz val="9"/>
        <rFont val="Tahoma"/>
        <family val="2"/>
        <charset val="204"/>
      </rPr>
      <t>saifi</t>
    </r>
    <r>
      <rPr>
        <sz val="9"/>
        <rFont val="Tahoma"/>
        <family val="2"/>
        <charset val="204"/>
      </rPr>
      <t>)</t>
    </r>
  </si>
  <si>
    <r>
      <t>Показатель уровня качества осуществляемого технологического присоединения (П</t>
    </r>
    <r>
      <rPr>
        <vertAlign val="subscript"/>
        <sz val="9"/>
        <rFont val="Tahoma"/>
        <family val="2"/>
        <charset val="204"/>
      </rPr>
      <t>тпр</t>
    </r>
    <r>
      <rPr>
        <sz val="9"/>
        <rFont val="Tahoma"/>
        <family val="2"/>
        <charset val="204"/>
      </rPr>
      <t>)</t>
    </r>
  </si>
  <si>
    <t>7 или 12</t>
  </si>
  <si>
    <r>
      <t>Показатель уровня качества обслуживания потребителей услуг территориальными сетевыми организациями (П</t>
    </r>
    <r>
      <rPr>
        <vertAlign val="subscript"/>
        <sz val="9"/>
        <rFont val="Tahoma"/>
        <family val="2"/>
        <charset val="204"/>
      </rPr>
      <t>тсо</t>
    </r>
    <r>
      <rPr>
        <sz val="9"/>
        <rFont val="Tahoma"/>
        <family val="2"/>
        <charset val="204"/>
      </rPr>
      <t>)</t>
    </r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</si>
  <si>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п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п</t>
    </r>
  </si>
  <si>
    <t>Глава IV1  Методических указаний</t>
  </si>
  <si>
    <t>L.P.TPR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</si>
  <si>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тпр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тпр</t>
    </r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</si>
  <si>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тсо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тсо</t>
    </r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</si>
  <si>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ens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ens</t>
    </r>
  </si>
  <si>
    <t>L.P.SAIDI</t>
  </si>
  <si>
    <t>Пsaidi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</si>
  <si>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saidi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saidi</t>
    </r>
  </si>
  <si>
    <t>Глава IV 2 Методических указаний</t>
  </si>
  <si>
    <t>L.P.SAIFI</t>
  </si>
  <si>
    <t>Пsaifi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</si>
  <si>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saifi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saifi</t>
    </r>
  </si>
  <si>
    <t xml:space="preserve"> Глава IV 2 Методических указаний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</si>
  <si>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</t>
    </r>
  </si>
  <si>
    <t>Глава V Методических указаний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</si>
  <si>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над1</t>
    </r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</si>
  <si>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над2</t>
    </r>
  </si>
  <si>
    <r>
      <t>Оценка достижения показателя уровня качества оказываемых услуг, К</t>
    </r>
    <r>
      <rPr>
        <vertAlign val="subscript"/>
        <sz val="9"/>
        <rFont val="Tahoma"/>
        <family val="2"/>
        <charset val="204"/>
      </rPr>
      <t>кач</t>
    </r>
    <r>
      <rPr>
        <sz val="9"/>
        <rFont val="Tahoma"/>
        <family val="2"/>
        <charset val="204"/>
      </rPr>
      <t xml:space="preserve"> (организации по управлению единой национальной (общероссийской) электрической сетью)</t>
    </r>
  </si>
  <si>
    <r>
      <t>Оценка достижения показателя уровня качества оказываемых услуг, К</t>
    </r>
    <r>
      <rPr>
        <vertAlign val="subscript"/>
        <sz val="9"/>
        <rFont val="Tahoma"/>
        <family val="2"/>
        <charset val="204"/>
      </rPr>
      <t>кач1</t>
    </r>
    <r>
      <rPr>
        <sz val="9"/>
        <rFont val="Tahoma"/>
        <family val="2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</si>
  <si>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9"/>
        <rFont val="Tahoma"/>
        <family val="2"/>
        <charset val="204"/>
      </rPr>
      <t>кач2</t>
    </r>
    <r>
      <rPr>
        <sz val="9"/>
        <rFont val="Tahoma"/>
        <family val="2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</si>
  <si>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9"/>
        <rFont val="Tahoma"/>
        <family val="2"/>
        <charset val="204"/>
      </rPr>
      <t>кач3</t>
    </r>
    <r>
      <rPr>
        <sz val="9"/>
        <rFont val="Tahoma"/>
        <family val="2"/>
        <charset val="204"/>
      </rPr>
      <t xml:space="preserve"> (для территориальной сетевой организации)</t>
    </r>
  </si>
  <si>
    <t>СПРАВОЧНО</t>
  </si>
  <si>
    <t>Коэффициент допустимого отклонения K1m:</t>
  </si>
  <si>
    <t>Коэффициент допустимого отклонения Km:</t>
  </si>
  <si>
    <t>Отчет предоставляется в рамках первого долгосрочного периода регулирования:</t>
  </si>
  <si>
    <t xml:space="preserve">Количество лет в текущем долгосрочном периоде </t>
  </si>
  <si>
    <t>Коэффициент допустимого отклонения Птпр в периоде t-1:</t>
  </si>
  <si>
    <t>Плановый показатель Птпр</t>
  </si>
  <si>
    <t>Фактический показатель Птпр</t>
  </si>
  <si>
    <t>Достижение показателя Птпр в периоде t-1 (да-1;нет-0)</t>
  </si>
  <si>
    <t>Коэффициент допустимого отклонения Пsaidi в периоде t-1:</t>
  </si>
  <si>
    <t>Плановый показатель Пsaidi</t>
  </si>
  <si>
    <t>Фактический показатель Пsaidi</t>
  </si>
  <si>
    <t>Достижение показателя Пsaidi в периоде t-1 (%)</t>
  </si>
  <si>
    <t>Коэффициент допустимого отклонения Пsaifi в периоде t-1:</t>
  </si>
  <si>
    <t>Плановый показатель Пsaifi</t>
  </si>
  <si>
    <t>Фактический показатель Пsaifi</t>
  </si>
  <si>
    <t>Достижение показателя Пsaifi в периоде t-1 (%)</t>
  </si>
  <si>
    <t>Коэффициент допустимого отклонения для Ккач1:</t>
  </si>
  <si>
    <t>Показатель средней продолжительности прекращений передачи электрической энергии на точку поставки (П saidiВН)</t>
  </si>
  <si>
    <t>Показатель средней продолжительности прекращений передачи электрической энергии на точку поставки (П saidiСН1)</t>
  </si>
  <si>
    <t>3.3</t>
  </si>
  <si>
    <t>Показатель средней продолжительности прекращений передачи электрической энергии на точку поставки (П saidiСН2)</t>
  </si>
  <si>
    <t>3.4</t>
  </si>
  <si>
    <t>Показатель средней продолжительности прекращений передачи электрической энергии на точку поставки (П saidiНН)</t>
  </si>
  <si>
    <r>
      <t>Показатель средней частоты прекращений передачи электрической энергии на точку поставки (П</t>
    </r>
    <r>
      <rPr>
        <vertAlign val="subscript"/>
        <sz val="9"/>
        <rFont val="Tahoma"/>
        <family val="2"/>
        <charset val="204"/>
      </rPr>
      <t>saifiВН</t>
    </r>
    <r>
      <rPr>
        <sz val="9"/>
        <rFont val="Tahoma"/>
        <family val="2"/>
        <charset val="204"/>
      </rPr>
      <t>)</t>
    </r>
  </si>
  <si>
    <r>
      <t>Показатель средней частоты прекращений передачи электрической энергии на точку поставки (П</t>
    </r>
    <r>
      <rPr>
        <vertAlign val="subscript"/>
        <sz val="9"/>
        <rFont val="Tahoma"/>
        <family val="2"/>
        <charset val="204"/>
      </rPr>
      <t>saifiСН1</t>
    </r>
    <r>
      <rPr>
        <sz val="9"/>
        <rFont val="Tahoma"/>
        <family val="2"/>
        <charset val="204"/>
      </rPr>
      <t>)</t>
    </r>
  </si>
  <si>
    <r>
      <t>Показатель средней частоты прекращений передачи электрической энергии на точку поставки (П</t>
    </r>
    <r>
      <rPr>
        <vertAlign val="subscript"/>
        <sz val="9"/>
        <rFont val="Tahoma"/>
        <family val="2"/>
        <charset val="204"/>
      </rPr>
      <t>saifiСН2</t>
    </r>
    <r>
      <rPr>
        <sz val="9"/>
        <rFont val="Tahoma"/>
        <family val="2"/>
        <charset val="204"/>
      </rPr>
      <t>)</t>
    </r>
  </si>
  <si>
    <r>
      <t>Показатель средней частоты прекращений передачи электрической энергии на точку поставки (П</t>
    </r>
    <r>
      <rPr>
        <vertAlign val="subscript"/>
        <sz val="9"/>
        <rFont val="Tahoma"/>
        <family val="2"/>
        <charset val="204"/>
      </rPr>
      <t>saifiНН</t>
    </r>
    <r>
      <rPr>
        <sz val="9"/>
        <rFont val="Tahoma"/>
        <family val="2"/>
        <charset val="204"/>
      </rPr>
      <t>)</t>
    </r>
  </si>
  <si>
    <t>L.P.SAIDI.HV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</si>
  <si>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saidiВН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saidiВН</t>
    </r>
  </si>
  <si>
    <t>L.P.SAIDI.MV1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</si>
  <si>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saidiСН1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saidiСН1</t>
    </r>
  </si>
  <si>
    <t>L.P.SAIDI.MV2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</si>
  <si>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saidiСН2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saidiСН2</t>
    </r>
  </si>
  <si>
    <t>L.P.SAIDI.LV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</si>
  <si>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saidiНН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saidiНН</t>
    </r>
  </si>
  <si>
    <t>L.P.SAIFI.HV</t>
  </si>
  <si>
    <t>12.1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</si>
  <si>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saifiВН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saifiВН</t>
    </r>
  </si>
  <si>
    <t>L.P.SAIFI.MV1</t>
  </si>
  <si>
    <t>12.2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</si>
  <si>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saifiСН1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saifiСН1</t>
    </r>
  </si>
  <si>
    <t>L.P.SAIFI.MV2</t>
  </si>
  <si>
    <t>12.3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</si>
  <si>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saifiСН2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saifiСН2</t>
    </r>
  </si>
  <si>
    <t>L.P.SAIFI.LV</t>
  </si>
  <si>
    <t>12.4</t>
  </si>
  <si>
    <r>
      <t>Плановое значение показателя П</t>
    </r>
    <r>
      <rPr>
        <vertAlign val="subscript"/>
        <sz val="9"/>
        <rFont val="Tahoma"/>
        <family val="2"/>
        <charset val="204"/>
      </rPr>
      <t>saifiНН</t>
    </r>
    <r>
      <rPr>
        <sz val="9"/>
        <rFont val="Tahoma"/>
        <family val="2"/>
        <charset val="204"/>
      </rPr>
      <t>, П</t>
    </r>
    <r>
      <rPr>
        <vertAlign val="superscript"/>
        <sz val="9"/>
        <rFont val="Tahoma"/>
        <family val="2"/>
        <charset val="204"/>
      </rPr>
      <t>пл</t>
    </r>
    <r>
      <rPr>
        <vertAlign val="subscript"/>
        <sz val="9"/>
        <rFont val="Tahoma"/>
        <family val="2"/>
        <charset val="204"/>
      </rPr>
      <t>saifiНН</t>
    </r>
  </si>
  <si>
    <t>14.1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</si>
  <si>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над1 ВН</t>
    </r>
  </si>
  <si>
    <t>14.2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</si>
  <si>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над1 СН1</t>
    </r>
  </si>
  <si>
    <t>14.3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</si>
  <si>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над1 СН2</t>
    </r>
  </si>
  <si>
    <t>14.4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</si>
  <si>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над1 НН</t>
    </r>
  </si>
  <si>
    <t>15.1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</si>
  <si>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над2 ВН</t>
    </r>
  </si>
  <si>
    <t>15.2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</si>
  <si>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над2 СН1</t>
    </r>
  </si>
  <si>
    <t>15.3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</si>
  <si>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над2 СН2</t>
    </r>
  </si>
  <si>
    <t>15.4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</si>
  <si>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над2 НН</t>
    </r>
  </si>
  <si>
    <t>Форма 4.2. Расчет обобщенного показателя уровня надежности и качества _x000D_
оказываемых услуг (для долгосрочных периодов регулирования, начавшихся с 2018 года)</t>
  </si>
  <si>
    <t>Id ТСО</t>
  </si>
  <si>
    <t>ТСО</t>
  </si>
  <si>
    <t>Нарушения</t>
  </si>
  <si>
    <t>Понижающий коэффициент, корректирующий необходимую валовую выручку по данным МЭ</t>
  </si>
  <si>
    <t>Нарушения п. 14 (2) а) ПП РФ 1220</t>
  </si>
  <si>
    <t>Нарушения п. 14 (2) б) ПП РФ 1220</t>
  </si>
  <si>
    <t>Нарушения п. 14 (2) в) ПП РФ 1220</t>
  </si>
  <si>
    <t>Нарушения п. 14 (2) г) ПП РФ 1220</t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</si>
  <si>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кач</t>
    </r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</si>
  <si>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кач1</t>
    </r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</si>
  <si>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кач2</t>
    </r>
  </si>
  <si>
    <r>
      <t>Оценка достижения показателя уровня надежности оказываемых услуг, К</t>
    </r>
    <r>
      <rPr>
        <vertAlign val="subscript"/>
        <sz val="9"/>
        <rFont val="Tahoma"/>
        <family val="2"/>
        <charset val="204"/>
      </rPr>
      <t>кач3</t>
    </r>
  </si>
  <si>
    <r>
      <t>Обобщенный показатель уровня надежности и качества оказываемых услуг, К</t>
    </r>
    <r>
      <rPr>
        <vertAlign val="subscript"/>
        <sz val="9"/>
        <rFont val="Tahoma"/>
        <family val="2"/>
        <charset val="204"/>
      </rPr>
      <t>об</t>
    </r>
  </si>
  <si>
    <t>Максимальный процент корректировки</t>
  </si>
  <si>
    <t xml:space="preserve">Понижающий (повышающий) коэффициент, корректирующий необходимую валовую выручку сетевой организации с учетом надежности и качества производимых (реализуемых) товаров (услуг) </t>
  </si>
  <si>
    <t>Данные об экономических и технических характеристиках и (или) условиях деятельности территориальных сетевых организаций</t>
  </si>
  <si>
    <t>Характеристики и (или) условия деятельности сетевой организации</t>
  </si>
  <si>
    <t xml:space="preserve">Значение характеристики </t>
  </si>
  <si>
    <t xml:space="preserve"> подтверждающие документы (в том числе внутренние документы сетевой организации)</t>
  </si>
  <si>
    <t xml:space="preserve">Наименование </t>
  </si>
  <si>
    <t>Реквизиты</t>
  </si>
  <si>
    <t>Протяженность линий электропередачи в одноцепном выражении (ЛЭП), км</t>
  </si>
  <si>
    <t>Протяженность кабельных линий электропередачи в одноцепном выражении, км</t>
  </si>
  <si>
    <t>Доля кабельных линий электропередачи в одноцепном выражении от общей протяженности линий электропередачи (Доля КЛ), %</t>
  </si>
  <si>
    <t>Максимальное за год число точек поставки, шт.</t>
  </si>
  <si>
    <t>Число разъединителей и выключателей, шт.</t>
  </si>
  <si>
    <t>Средняя летняя температура, °C</t>
  </si>
  <si>
    <t>Номер группы (m) территориальной сетевой организации по показателю Пsaidi</t>
  </si>
  <si>
    <t>Номер группы (m) территориальной сетевой организации по показателю Пsaifi</t>
  </si>
  <si>
    <t>Форма 9.1. Базовые значения показателей надежности, значения коэффициентов допустимых отклонений фактических значений показателей надежности от плановых и максимальной динамики улучшения плановых показателей надежности для групп территориальных сетевых организаций, имеющих сопоставимые друг с другом характеристики и (или) условия деятельности, сформированные по показателю средней продолжительности прекращения передачи электрической энергии на точку поставки (Пsaidi)</t>
  </si>
  <si>
    <t>Группы территориальных сетевых организаций</t>
  </si>
  <si>
    <t>Итог</t>
  </si>
  <si>
    <t>ЛЭП</t>
  </si>
  <si>
    <t>Доля</t>
  </si>
  <si>
    <t>T</t>
  </si>
  <si>
    <t>Плотность</t>
  </si>
  <si>
    <t>Базовые значения показателей надежности</t>
  </si>
  <si>
    <t>Максимальная динамика улучшения плановых показателей надежности</t>
  </si>
  <si>
    <t>Значения коэффициентов допустимых отклонений фактических значений показателей надежности от плановых</t>
  </si>
  <si>
    <t>итог</t>
  </si>
  <si>
    <t>ЛЭП 7 500 км и более, доля КЛ менее 10%, средняя летняя температура 20°С и более</t>
  </si>
  <si>
    <t>-</t>
  </si>
  <si>
    <t>ЛЭП 7 500 км и более, доля КЛ менее 10%, средняя летняя температура менее 20°С, число разъединителей и выключателей менее 25 000 штук</t>
  </si>
  <si>
    <t>ЛЭП 7 500 км и более, доля КЛ менее 10%, средняя летняя температура менее 20°С, число разъединителей и выключателей 25 000 шт. и более</t>
  </si>
  <si>
    <t>ЛЭП 7 500 км и более, доля КЛ 10% и более</t>
  </si>
  <si>
    <t>ЛЭП 10 км и более и менее 7500 км, доля КЛ 30% и более</t>
  </si>
  <si>
    <t>ЛЭП 10 км и более и менее 7500 км, доля КЛ менее 30%, плотность менее 20 штук/км, число точек поставки менее 10 000 штук</t>
  </si>
  <si>
    <t>ЛЭП 10 км и более и менее 7500 км, доля КЛ менее 30%, плотность менее 20 штук/км, число точек поставки 10 000 штук и более</t>
  </si>
  <si>
    <t>ЛЭП 10 км и более и менее 7500 км, доля КЛ менее 30%, плотность 20 штук/км и более</t>
  </si>
  <si>
    <t>ЛЭП менее 10 км</t>
  </si>
  <si>
    <t>Форма 9.2. Базовые значения показателей надежности, значения коэффициентов допустимых отклонений фактических значений показателей надежности от плановых и максимальной динамики улучшения плановых показателей надежности для групп территориальных сетевых организаций, имеющих сопоставимые друг с другом характеристики и (или) условия деятельности, сформированные по показателю средней частоты прекращения передачи электрической энергии на точку поставки (Пsaifi)</t>
  </si>
  <si>
    <t>ЛЭП 7 500 км и более, доля КЛ менее 10%</t>
  </si>
  <si>
    <t>ЛЭП 3 000 км и более и менее 7 500 км, доля КЛ менее 15%</t>
  </si>
  <si>
    <t>ЛЭП 3 000 км и более и менее 7 500 км, доля КЛ 15% и более</t>
  </si>
  <si>
    <t>ЛЭП 100 км и более и менее 3 000 км, доля КЛ 35% и более</t>
  </si>
  <si>
    <t>ЛЭП 100 км и более и менее 3 000 км, доля КЛ менее 35%</t>
  </si>
  <si>
    <t>ЛЭП от 10 км и более и менее 100 км</t>
  </si>
  <si>
    <t>Добавить комментарий</t>
  </si>
  <si>
    <t>ЦЭС 5 ООО "Энергонефть Томск"</t>
  </si>
  <si>
    <t>ВЛ-6 кВ Ф.58-2</t>
  </si>
  <si>
    <t>6 (6.3)</t>
  </si>
  <si>
    <t>17,42 2025.01.01</t>
  </si>
  <si>
    <t>ВЛ 6 (6.3) кВ Ф.58-2</t>
  </si>
  <si>
    <t>ЦЭС 4 ООО "Энергонефть Томск"</t>
  </si>
  <si>
    <t>ВЛ-6 кВ Ф.ЧР-14</t>
  </si>
  <si>
    <t>13,00 2025.01.02</t>
  </si>
  <si>
    <t>18,00 2025.01.02</t>
  </si>
  <si>
    <t>ВЛ 6 (6.3) кВ Ф.ЧР-14</t>
  </si>
  <si>
    <t>ЦЭС 1 ООО "Энергонефть Томск"</t>
  </si>
  <si>
    <t>ВЛ-6 кВ Ф.9-22</t>
  </si>
  <si>
    <t>16,03 2025.01.09</t>
  </si>
  <si>
    <t>18,09 2025.01.09</t>
  </si>
  <si>
    <t>ВЛ 6 (6.3) кВ Ф.9-22</t>
  </si>
  <si>
    <t>ЦЭС 2 ООО "Энергонефть Томск"</t>
  </si>
  <si>
    <t>ВЛ-6 кВ Ф.Гр-14</t>
  </si>
  <si>
    <t>16,20 2025.01.13</t>
  </si>
  <si>
    <t>16,57 2025.01.13</t>
  </si>
  <si>
    <t>ВЛ 6 (6.3) кВ Ф.Гр-14</t>
  </si>
  <si>
    <t>ВЛ-6 кВ Ф.5-4</t>
  </si>
  <si>
    <t>11,32 2025.01.14</t>
  </si>
  <si>
    <t>13,41 2025.01.14</t>
  </si>
  <si>
    <t>ВЛ 6 (6.3) кВ Ф.5-4</t>
  </si>
  <si>
    <t>ВЛ-6 кВ Ф.17-10</t>
  </si>
  <si>
    <t>12,05 2025.01.16</t>
  </si>
  <si>
    <t>16,10 2025.01.16</t>
  </si>
  <si>
    <t>ВЛ 6 (6.3) кВ Ф.17-10</t>
  </si>
  <si>
    <t>ВЛ-6 кВ Ф.О-21</t>
  </si>
  <si>
    <t>11,31 2025.01.23</t>
  </si>
  <si>
    <t>13,54 2025.01.23</t>
  </si>
  <si>
    <t>ВЛ 6 (6.3) кВ Ф.О-21</t>
  </si>
  <si>
    <t>ВЛ-6 кВ Ф.3-14</t>
  </si>
  <si>
    <t>17,54 2025.01.25</t>
  </si>
  <si>
    <t>ВЛ 6 (6.3) кВ Ф.3-14</t>
  </si>
  <si>
    <t>ВЛ-6 кВ Ф.7-12</t>
  </si>
  <si>
    <t>07,23 2025.01.28</t>
  </si>
  <si>
    <t>07,25 2025.01.28</t>
  </si>
  <si>
    <t>ВЛ 6 (6.3) кВ Ф.7-12</t>
  </si>
  <si>
    <t>ЦЭСО ООО "Энергонефть Томск"</t>
  </si>
  <si>
    <t>ВЛ-110 кВ Игольская-Двуреченская с отпайками II цепь (С-141)</t>
  </si>
  <si>
    <t>110</t>
  </si>
  <si>
    <t>16,14 2025.01.28</t>
  </si>
  <si>
    <t>ВЛ 110 кВ Игольская-Двуреченская с отпайками II цепь (С-141)</t>
  </si>
  <si>
    <t>12,40 2025.01.29</t>
  </si>
  <si>
    <t>15,32 2025.01.29</t>
  </si>
  <si>
    <t>ВЛ-6 кВ Ф.В-1</t>
  </si>
  <si>
    <t>11,59 2025.02.05</t>
  </si>
  <si>
    <t>ВЛ 6 (6.3) кВ Ф.В-1</t>
  </si>
  <si>
    <t>ВЛ-6 кВ Ф.2-17</t>
  </si>
  <si>
    <t>09,00 2025.02.06</t>
  </si>
  <si>
    <t>12,00 2025.02.06</t>
  </si>
  <si>
    <t>ВЛ 6 (6.3) кВ Ф.2-17</t>
  </si>
  <si>
    <t>ВЛ-6 кВ Ф.2-6</t>
  </si>
  <si>
    <t>16,00 2025.02.06</t>
  </si>
  <si>
    <t>ВЛ 6 (6.3) кВ Ф.2-6</t>
  </si>
  <si>
    <t>ВЛ-6 кВ Ф.14-6</t>
  </si>
  <si>
    <t>18,00 2025.02.08</t>
  </si>
  <si>
    <t>19,12 2025.02.08</t>
  </si>
  <si>
    <t>ВЛ 6 (6.3) кВ Ф.14-6</t>
  </si>
  <si>
    <t>ВЛ-6 кВ Ф.26-10</t>
  </si>
  <si>
    <t>16,20 2025.02.09</t>
  </si>
  <si>
    <t>17,38 2025.02.09</t>
  </si>
  <si>
    <t>ВЛ 6 (6.3) кВ Ф.26-10</t>
  </si>
  <si>
    <t>ПС 35/6 кВ №207</t>
  </si>
  <si>
    <t>35</t>
  </si>
  <si>
    <t>10,37 2025.02.10</t>
  </si>
  <si>
    <t>12,17 2025.02.10</t>
  </si>
  <si>
    <t>ПС 35 кВ №207 В-35 1Т</t>
  </si>
  <si>
    <t>ВЛ-6 кВ Ф.Б1-9</t>
  </si>
  <si>
    <t>16,03 2025.02.13</t>
  </si>
  <si>
    <t>19,10 2025.02.13</t>
  </si>
  <si>
    <t>ВЛ 6 (6.3) кВ Ф.Б1-9</t>
  </si>
  <si>
    <t>ВЛ-6 кВ Ф.1-6</t>
  </si>
  <si>
    <t>14,51 2025.02.16</t>
  </si>
  <si>
    <t>17,09 2025.02.16</t>
  </si>
  <si>
    <t>ВЛ 6 (6.3) кВ Ф.1-6</t>
  </si>
  <si>
    <t>ВЛ-6 кВ Ф.О-5</t>
  </si>
  <si>
    <t>17,46 2025.02.16</t>
  </si>
  <si>
    <t>18,01 2025.02.16</t>
  </si>
  <si>
    <t>ВЛ 6 (6.3) кВ Ф.О-5</t>
  </si>
  <si>
    <t>ВЛ-6 кВ Ф.7-8</t>
  </si>
  <si>
    <t>10,44 2025.02.17</t>
  </si>
  <si>
    <t>13,04 2025.02.17</t>
  </si>
  <si>
    <t>ВЛ 6 (6.3) кВ Ф.7-8</t>
  </si>
  <si>
    <t>ВЛ-6 кВ Ф.24-15</t>
  </si>
  <si>
    <t>15,19 2025.02.17</t>
  </si>
  <si>
    <t>19,43 2025.02.17</t>
  </si>
  <si>
    <t>ВЛ 6 (6.3) кВ Ф.24-15</t>
  </si>
  <si>
    <t>ВЛ-6 кВ Ф.7-4</t>
  </si>
  <si>
    <t>14,48 2025.02.19</t>
  </si>
  <si>
    <t>ВЛ 6 (6.3) кВ Ф.7-4</t>
  </si>
  <si>
    <t>ВЛ-6 кВ Ф.3-12</t>
  </si>
  <si>
    <t>15,44 2025.02.25</t>
  </si>
  <si>
    <t>18,00 2025.02.25</t>
  </si>
  <si>
    <t>ВЛ 6 (6.3) кВ Ф.3-12</t>
  </si>
  <si>
    <t>ВЛ-6 кВ Ф.1-12</t>
  </si>
  <si>
    <t>09,58 2025.03.04</t>
  </si>
  <si>
    <t>11,05 2025.03.04</t>
  </si>
  <si>
    <t>ВЛ 6 (6.3) кВ Ф.1-12</t>
  </si>
  <si>
    <t>ВЛ-6 кВ Ф.58-18</t>
  </si>
  <si>
    <t>09,11 2025.03.05</t>
  </si>
  <si>
    <t>17,00 2025.03.05</t>
  </si>
  <si>
    <t>ВЛ 6 (6.3) кВ Ф.58-18</t>
  </si>
  <si>
    <t>ВЛ-6 кВ Ф.24-13</t>
  </si>
  <si>
    <t>09,21 2025.03.05</t>
  </si>
  <si>
    <t>16,58 2025.03.05</t>
  </si>
  <si>
    <t>ВЛ 6 (6.3) кВ Ф.24-13</t>
  </si>
  <si>
    <t>ВЛ-6 кВ Ф.5-17</t>
  </si>
  <si>
    <t>15,58 2025.03.06</t>
  </si>
  <si>
    <t>16,07 2025.03.06</t>
  </si>
  <si>
    <t>ВЛ 6 (6.3) кВ Ф.5-17</t>
  </si>
  <si>
    <t>ВЛ-6 кВ Ф.Гр-5</t>
  </si>
  <si>
    <t>16,10 2025.03.06</t>
  </si>
  <si>
    <t>16,34 2025.03.06</t>
  </si>
  <si>
    <t>ВЛ 6 (6.3) кВ Ф.Гр-5</t>
  </si>
  <si>
    <t>ВЛ-35 кВ ЦЛ-3</t>
  </si>
  <si>
    <t>10,17 2025.03.08</t>
  </si>
  <si>
    <t>14,52 2025.03.08</t>
  </si>
  <si>
    <t>ВЛ 35 кВ ЦЛ-3</t>
  </si>
  <si>
    <t>10,40 2025.03.08</t>
  </si>
  <si>
    <t>12,30 2025.03.08</t>
  </si>
  <si>
    <t>10,19 2025.03.11</t>
  </si>
  <si>
    <t>11,26 2025.03.11</t>
  </si>
  <si>
    <t>ВЛ-6 кВ Ф.15-16</t>
  </si>
  <si>
    <t>14,28 2025.03.14</t>
  </si>
  <si>
    <t>15,02 2025.03.14</t>
  </si>
  <si>
    <t>ВЛ 6 (6.3) кВ Ф.15-16</t>
  </si>
  <si>
    <t>ВЛ-6 кВ Ф.5-5</t>
  </si>
  <si>
    <t>22,39 2025.03.14</t>
  </si>
  <si>
    <t>23,36 2025.03.14</t>
  </si>
  <si>
    <t>ВЛ 6 (6.3) кВ Ф.5-5</t>
  </si>
  <si>
    <t>10,51 2025.03.15</t>
  </si>
  <si>
    <t>13,06 2025.03.15</t>
  </si>
  <si>
    <t>ВЛ-6 кВ Ф.Чр-7</t>
  </si>
  <si>
    <t>11,08 2025.03.15</t>
  </si>
  <si>
    <t>13,50 2025.03.15</t>
  </si>
  <si>
    <t>ВЛ 6 (6.3) кВ Ф.Чр-7</t>
  </si>
  <si>
    <t>ВЛ-6 кВ Ф.2-1</t>
  </si>
  <si>
    <t>17,27 2025.03.17</t>
  </si>
  <si>
    <t>18,16 2025.03.17</t>
  </si>
  <si>
    <t>ВЛ 6 (6.3) кВ Ф.2-1</t>
  </si>
  <si>
    <t>ВЛ-6 кВ Ф.4-7</t>
  </si>
  <si>
    <t>10,55 2025.03.18</t>
  </si>
  <si>
    <t>14,13 2025.03.18</t>
  </si>
  <si>
    <t>ВЛ 6 (6.3) кВ Ф.4-7</t>
  </si>
  <si>
    <t>ВЛ-6 кВ Ф.14-4</t>
  </si>
  <si>
    <t>12,06 2025.03.18</t>
  </si>
  <si>
    <t>15,42 2025.03.18</t>
  </si>
  <si>
    <t>ВЛ 6 (6.3) кВ Ф.14-4</t>
  </si>
  <si>
    <t>ВЛ-6 кВ Ф.Б4-17</t>
  </si>
  <si>
    <t>20,00 2025.03.18</t>
  </si>
  <si>
    <t>22,11 2025.03.18</t>
  </si>
  <si>
    <t>ВЛ 6 (6.3) кВ Ф.Б4-17</t>
  </si>
  <si>
    <t>ВЛ-6 кВ Ф.9-10</t>
  </si>
  <si>
    <t>10,45 2025.03.19</t>
  </si>
  <si>
    <t>13,11 2025.03.19</t>
  </si>
  <si>
    <t>ВЛ 6 (6.3) кВ Ф.9-10</t>
  </si>
  <si>
    <t>ВЛ-6 кВ Ф.6-6</t>
  </si>
  <si>
    <t>16,50 2025.03.19</t>
  </si>
  <si>
    <t>17,02 2025.03.19</t>
  </si>
  <si>
    <t>ВЛ 6 (6.3) кВ Ф.6-6</t>
  </si>
  <si>
    <t>ВЛ-6 кВ Ф.6-1</t>
  </si>
  <si>
    <t>09,50 2025.03.21</t>
  </si>
  <si>
    <t>09,54 2025.03.21</t>
  </si>
  <si>
    <t>ВЛ 6 (6.3) кВ Ф.6-1</t>
  </si>
  <si>
    <t>ВЛ-6 кВ Ф.11-6</t>
  </si>
  <si>
    <t>10,24 2025.03.27</t>
  </si>
  <si>
    <t>15,51 2025.03.27</t>
  </si>
  <si>
    <t>ВЛ 6 (6.3) кВ Ф.11-6</t>
  </si>
  <si>
    <t>10,30 2025.03.27</t>
  </si>
  <si>
    <t>14,04 2025.03.27</t>
  </si>
  <si>
    <t>ВЛ-6 кВ Ф.30-6</t>
  </si>
  <si>
    <t>10,26 2025.03.28</t>
  </si>
  <si>
    <t>16,42 2025.03.28</t>
  </si>
  <si>
    <t>ВЛ 6 (6.3) кВ Ф.30-6</t>
  </si>
  <si>
    <t>ПС 110 кВ Катыльгинская</t>
  </si>
  <si>
    <t>15,49 2025.03.29</t>
  </si>
  <si>
    <t>ПС 110 кВ Катыльгинская В-35 1Т</t>
  </si>
  <si>
    <t>ВЛ-6 кВ Ф.О-16</t>
  </si>
  <si>
    <t>11,11 2025.04.03</t>
  </si>
  <si>
    <t>14,56 2025.04.03</t>
  </si>
  <si>
    <t>ВЛ 6 (6.3) кВ Ф.О-16</t>
  </si>
  <si>
    <t>ВЛ-6 кВ Ф.3-6</t>
  </si>
  <si>
    <t>11,20 2025.04.03</t>
  </si>
  <si>
    <t>17,15 2025.04.03</t>
  </si>
  <si>
    <t>ВЛ 6 (6.3) кВ Ф.3-6</t>
  </si>
  <si>
    <t>ВЛ-6 кВ Ф.23-16</t>
  </si>
  <si>
    <t>10,00 2025.04.04</t>
  </si>
  <si>
    <t>14,11 2025.04.04</t>
  </si>
  <si>
    <t>ВЛ 6 (6.3) кВ Ф.23-16</t>
  </si>
  <si>
    <t>ВЛ-6 кВ Ф.О-29</t>
  </si>
  <si>
    <t>14,51 2025.04.04</t>
  </si>
  <si>
    <t>18,52 2025.04.04</t>
  </si>
  <si>
    <t>ВЛ 6 (6.3) кВ Ф.О-29</t>
  </si>
  <si>
    <t>11,25 2025.04.07</t>
  </si>
  <si>
    <t>15,04 2025.04.07</t>
  </si>
  <si>
    <t>ЦЭС 3 ООО "Энергонефть Томск"</t>
  </si>
  <si>
    <t>ВЛ-6 кВ Ф.8-20</t>
  </si>
  <si>
    <t>15,35 2025.04.08</t>
  </si>
  <si>
    <t>16,26 2025.04.08</t>
  </si>
  <si>
    <t>ВЛ 6 (6.3) кВ Ф.8-20</t>
  </si>
  <si>
    <t>ВЛ-6 кВ Ф.6-10</t>
  </si>
  <si>
    <t>09,28 2025.04.09</t>
  </si>
  <si>
    <t>22,04 2025.04.09</t>
  </si>
  <si>
    <t>ВЛ 6 (6.3) кВ Ф.6-10</t>
  </si>
  <si>
    <t>ВЛ-6 кВ Ф.3-7</t>
  </si>
  <si>
    <t>15,29 2025.04.09</t>
  </si>
  <si>
    <t>21,44 2025.04.09</t>
  </si>
  <si>
    <t>ВЛ 6 (6.3) кВ Ф.3-7</t>
  </si>
  <si>
    <t>ВЛ-6 кВ Ф.10-12</t>
  </si>
  <si>
    <t>09,01 2025.04.10</t>
  </si>
  <si>
    <t>10,01 2025.04.10</t>
  </si>
  <si>
    <t>ВЛ 6 (6.3) кВ Ф.10-12</t>
  </si>
  <si>
    <t>09,06 2025.04.10</t>
  </si>
  <si>
    <t>11,38 2025.04.10</t>
  </si>
  <si>
    <t>ВЛ-6 кВ Ф.Б10-18</t>
  </si>
  <si>
    <t>10,55 2025.04.10</t>
  </si>
  <si>
    <t>12,03 2025.04.10</t>
  </si>
  <si>
    <t>ВЛ 6 (6.3) кВ Ф.Б10-18</t>
  </si>
  <si>
    <t>ВЛ-6 кВ Ф.10-7</t>
  </si>
  <si>
    <t>14,27 2025.04.10</t>
  </si>
  <si>
    <t>15,05 2025.04.10</t>
  </si>
  <si>
    <t>ВЛ 6 (6.3) кВ Ф.10-7</t>
  </si>
  <si>
    <t>ВЛ-6 кВ Ф.10-8</t>
  </si>
  <si>
    <t>17,20 2025.04.11</t>
  </si>
  <si>
    <t>17,42 2025.04.11</t>
  </si>
  <si>
    <t>ВЛ 6 (6.3) кВ Ф.10-8</t>
  </si>
  <si>
    <t>11,07 2025.04.14</t>
  </si>
  <si>
    <t>17,40 2025.04.14</t>
  </si>
  <si>
    <t>ВЛ-6 кВ Ф.30-8</t>
  </si>
  <si>
    <t>11,42 2025.04.14</t>
  </si>
  <si>
    <t>12,29 2025.04.14</t>
  </si>
  <si>
    <t>ВЛ 6 (6.3) кВ Ф.30-8</t>
  </si>
  <si>
    <t>ВЛ-6 кВ Ф.11-14</t>
  </si>
  <si>
    <t>10,42 2025.04.15</t>
  </si>
  <si>
    <t>16,18 2025.04.15</t>
  </si>
  <si>
    <t>ВЛ 6 (6.3) кВ Ф.11-14</t>
  </si>
  <si>
    <t>10,23 2025.04.16</t>
  </si>
  <si>
    <t>12,40 2025.04.16</t>
  </si>
  <si>
    <t>ВЛ 35 кВ ЦЛ-9</t>
  </si>
  <si>
    <t>23,51 2025.04.22</t>
  </si>
  <si>
    <t>ВЛ-6 кВ Ф.8-16</t>
  </si>
  <si>
    <t>17,48 2025.04.24</t>
  </si>
  <si>
    <t>19,22 2025.04.24</t>
  </si>
  <si>
    <t>ВЛ 6 (6.3) кВ Ф.8-16</t>
  </si>
  <si>
    <t>02,44 2025.04.28</t>
  </si>
  <si>
    <t>ВЛ 6 (6.3) кВ ВЛ-6 кВ Ф.3-6</t>
  </si>
  <si>
    <t>ВЛ-6 кВ Ф.7-3</t>
  </si>
  <si>
    <t>16,43 2025.04.29</t>
  </si>
  <si>
    <t>18,47 2025.04.29</t>
  </si>
  <si>
    <t>ВЛ 6 (6.3) кВ Ф.7-3</t>
  </si>
  <si>
    <t>ВЛ-6 кВ Ф.20-7</t>
  </si>
  <si>
    <t>14,34 2025.05.02</t>
  </si>
  <si>
    <t>ВЛ 6 (6.3) кВ Ф.20-7</t>
  </si>
  <si>
    <t>ВЛ-35 кВ ЦЛ-8</t>
  </si>
  <si>
    <t>09,00 2025.05.05</t>
  </si>
  <si>
    <t>ВЛ 35 кВ ЦЛ-8</t>
  </si>
  <si>
    <t>ВЛ-6 кВ Ф.Б1-10</t>
  </si>
  <si>
    <t>10,52 2025.05.05</t>
  </si>
  <si>
    <t>15,49 2025.05.05</t>
  </si>
  <si>
    <t>ВЛ 6 (6.3) кВ Ф.Б1-10</t>
  </si>
  <si>
    <t>ВЛ 110 кВ Двуреченская – Катыльгинская с отпайкой на ПС Новый Васюган II цепь (С-98)</t>
  </si>
  <si>
    <t>09,17 2025.05.06</t>
  </si>
  <si>
    <t>ВЛ-6 кВ Ф.Гр-2</t>
  </si>
  <si>
    <t>11,34 2025.05.08</t>
  </si>
  <si>
    <t>12,23 2025.05.08</t>
  </si>
  <si>
    <t>ВЛ 6 (6.3) кВ Ф.Гр-2</t>
  </si>
  <si>
    <t>19,35 2025.05.10</t>
  </si>
  <si>
    <t>20,02 2025.05.10</t>
  </si>
  <si>
    <t>ВЛ-6 кВ Ф.О-31</t>
  </si>
  <si>
    <t>15,05 2025.05.14</t>
  </si>
  <si>
    <t>17,28 2025.05.14</t>
  </si>
  <si>
    <t>ВЛ 6 (6.3) кВ Ф.О-31</t>
  </si>
  <si>
    <t>ВЛ-6 кВ Ф.Б11-1</t>
  </si>
  <si>
    <t>09,21 2025.05.15</t>
  </si>
  <si>
    <t>18,24 2025.05.15</t>
  </si>
  <si>
    <t>ВЛ 6 (6.3) кВ Ф.Б11-1</t>
  </si>
  <si>
    <t>09,26 2025.05.15</t>
  </si>
  <si>
    <t>18,29 2025.05.15</t>
  </si>
  <si>
    <t>12,58 2025.05.15</t>
  </si>
  <si>
    <t>09,49 2025.05.16</t>
  </si>
  <si>
    <t>11,26 2025.05.16</t>
  </si>
  <si>
    <t>ВЛ-6 кВ Ф.7-2</t>
  </si>
  <si>
    <t>17,48 2025.05.17</t>
  </si>
  <si>
    <t>ВЛ 6 (6.3) кВ Ф.7-2</t>
  </si>
  <si>
    <t>ВЛ-6 кВ Ф.1-5</t>
  </si>
  <si>
    <t>10,45 2025.05.20</t>
  </si>
  <si>
    <t>11,53 2025.05.20</t>
  </si>
  <si>
    <t>ВЛ 6 (6.3) кВ Ф.1-5</t>
  </si>
  <si>
    <t>ВЛ-6 кВ Ф.16-12</t>
  </si>
  <si>
    <t>18,05 2025.05.21</t>
  </si>
  <si>
    <t>21,00 2025.05.21</t>
  </si>
  <si>
    <t>ВЛ 6 (6.3) кВ Ф.16-12</t>
  </si>
  <si>
    <t>18,58 2025.05.21</t>
  </si>
  <si>
    <t>19,20 2025.05.21</t>
  </si>
  <si>
    <t>18,12 2025.05.22</t>
  </si>
  <si>
    <t>ВЛ 35 кВ ЦЛ-8 ЦЛ-9</t>
  </si>
  <si>
    <t>19,00 2025.05.23</t>
  </si>
  <si>
    <t>05,36 2025.05.24</t>
  </si>
  <si>
    <t>09,50 2025.05.24</t>
  </si>
  <si>
    <t>10,39 2025.05.24</t>
  </si>
  <si>
    <t>ВЛ-6 кВ Ф.24-17</t>
  </si>
  <si>
    <t>15,40 2025.05.30</t>
  </si>
  <si>
    <t>17,15 2025.05.30</t>
  </si>
  <si>
    <t>ВЛ 6 (6.3) кВ Ф.24-17</t>
  </si>
  <si>
    <t>11,00 2025.06.02</t>
  </si>
  <si>
    <t>12,30 2025.06.02</t>
  </si>
  <si>
    <t>ВЛ-6 кВ Ф.5-10</t>
  </si>
  <si>
    <t>18,30 2025.06.02</t>
  </si>
  <si>
    <t>ВЛ 6 (6.3) кВ Ф.5-10</t>
  </si>
  <si>
    <t>10,19 2025.06.04</t>
  </si>
  <si>
    <t>12,48 2025.06.04</t>
  </si>
  <si>
    <t>09,35 2025.06.05</t>
  </si>
  <si>
    <t>17,51 2025.06.05</t>
  </si>
  <si>
    <t>13,03 2025.06.06</t>
  </si>
  <si>
    <t>00,16 2025.06.11</t>
  </si>
  <si>
    <t>ВЛ-6 кВ Ф.4-8</t>
  </si>
  <si>
    <t>16,50 2025.06.11</t>
  </si>
  <si>
    <t>ВЛ 6 (6.3) кВ Ф.4-8</t>
  </si>
  <si>
    <t>ВЛ-6 кВ Ф.11-5</t>
  </si>
  <si>
    <t>19,43 2025.06.11</t>
  </si>
  <si>
    <t>ВЛ 6 (6.3) кВ Ф.11-5</t>
  </si>
  <si>
    <t>18,40 2025.06.12</t>
  </si>
  <si>
    <t>20,30 2025.06.12</t>
  </si>
  <si>
    <t>10,08 2025.06.13</t>
  </si>
  <si>
    <t>13,07 2025.06.13</t>
  </si>
  <si>
    <t>ВЛ-6 кВ Ф.Б1-3</t>
  </si>
  <si>
    <t>10,07 2025.06.14</t>
  </si>
  <si>
    <t>13,08 2025.06.14</t>
  </si>
  <si>
    <t>ВЛ 6 (6.3) кВ Ф.Б1-3</t>
  </si>
  <si>
    <t>ВЛ-6 кВ Ф.Гр-10</t>
  </si>
  <si>
    <t>18,45 2025.06.16</t>
  </si>
  <si>
    <t>ВЛ 6 (6.3) кВ Ф.Гр-10</t>
  </si>
  <si>
    <t>19,06 2025.06.20</t>
  </si>
  <si>
    <t>ВЛ-6 кВ Ф.Б8-12</t>
  </si>
  <si>
    <t>17,04 2025.06.21</t>
  </si>
  <si>
    <t>ВЛ 6 (6.3) кВ Ф.Б8-12</t>
  </si>
  <si>
    <t>ВЛ-35 кВ ЦЛ-9</t>
  </si>
  <si>
    <t>15,47 2025.06.22</t>
  </si>
  <si>
    <t>ВЛ-35 кВ ЦЛ-7</t>
  </si>
  <si>
    <t>17,44 2025.06.22</t>
  </si>
  <si>
    <t>ВЛ 35 кВ ЦЛ-7</t>
  </si>
  <si>
    <t>17,51 2025.06.27</t>
  </si>
  <si>
    <t>17,53 2025.06.27</t>
  </si>
  <si>
    <t>15,49 2025.06.28</t>
  </si>
  <si>
    <t>18,11 2025.06.28</t>
  </si>
  <si>
    <t>ВЛ-6 кВ Ф.21-19</t>
  </si>
  <si>
    <t>04,01 2025.06.30</t>
  </si>
  <si>
    <t>04,43 2025.06.30</t>
  </si>
  <si>
    <t>ВЛ 6 (6.3) кВ Ф.21-19</t>
  </si>
  <si>
    <t>ВЛ-6 кВ Ф.14-16</t>
  </si>
  <si>
    <t>15,50 2025.06.30</t>
  </si>
  <si>
    <t>ВЛ-6 кВ Ф.П-14</t>
  </si>
  <si>
    <t>08,55 2025.07.02</t>
  </si>
  <si>
    <t>16,03 2025.07.02</t>
  </si>
  <si>
    <t>ВЛ 6 (6.3) кВ Ф.П-14</t>
  </si>
  <si>
    <t>ВЛ-6 кВ Ф.Б4-16</t>
  </si>
  <si>
    <t>16,08 2025.07.02</t>
  </si>
  <si>
    <t>18,10 2025.07.02</t>
  </si>
  <si>
    <t>ВЛ 6 (6.3) кВ Ф.Б4-16</t>
  </si>
  <si>
    <t>18,25 2025.07.02</t>
  </si>
  <si>
    <t>11,09 2025.07.03</t>
  </si>
  <si>
    <t>13,26 2025.07.03</t>
  </si>
  <si>
    <t>14,32 2025.07.03</t>
  </si>
  <si>
    <t>20,47 2025.07.03</t>
  </si>
  <si>
    <t>15,56 2025.07.03</t>
  </si>
  <si>
    <t>16,33 2025.07.03</t>
  </si>
  <si>
    <t>10,08 2025.07.04</t>
  </si>
  <si>
    <t>11,38 2025.07.04</t>
  </si>
  <si>
    <t>10,38 2025.07.06</t>
  </si>
  <si>
    <t>13,05 2025.07.06</t>
  </si>
  <si>
    <t>ВЛ-6 кВ Ф.Б1-1</t>
  </si>
  <si>
    <t>10,20 2025.07.08</t>
  </si>
  <si>
    <t>21,19 2025.07.08</t>
  </si>
  <si>
    <t>ВЛ 6 (6.3) кВ Ф.Б1-1</t>
  </si>
  <si>
    <t>18,05 2025.07.08</t>
  </si>
  <si>
    <t>ВЛ-6 кВ Ф.23-13</t>
  </si>
  <si>
    <t>11,33 2025.07.08</t>
  </si>
  <si>
    <t>14,15 2025.07.08</t>
  </si>
  <si>
    <t>ВЛ 6 (6.3) кВ Ф.23-13</t>
  </si>
  <si>
    <t>ВЛ-6 кВ Ф.16-18</t>
  </si>
  <si>
    <t>09,00 2025.07.10</t>
  </si>
  <si>
    <t>12,03 2025.07.10</t>
  </si>
  <si>
    <t>ВЛ 6 (6.3) кВ Ф.16-18</t>
  </si>
  <si>
    <t>10,13 2025.07.10</t>
  </si>
  <si>
    <t>17,20 2025.07.10</t>
  </si>
  <si>
    <t>10,45 2025.07.10</t>
  </si>
  <si>
    <t>19,55 2025.07.10</t>
  </si>
  <si>
    <t>04,26 2025.07.13</t>
  </si>
  <si>
    <t>04,29 2025.07.13</t>
  </si>
  <si>
    <t>15,09 2025.07.13</t>
  </si>
  <si>
    <t>15,31 2025.07.13</t>
  </si>
  <si>
    <t>10,01 2025.07.14</t>
  </si>
  <si>
    <t>12,31 2025.07.14</t>
  </si>
  <si>
    <t>ВЛ-6 кВ Ф.10-4</t>
  </si>
  <si>
    <t>14,22 2025.07.16</t>
  </si>
  <si>
    <t>ВЛ 6 (6.3) кВ Ф.10-4</t>
  </si>
  <si>
    <t>18,53 2025.07.20</t>
  </si>
  <si>
    <t>19,21 2025.07.20</t>
  </si>
  <si>
    <t>ВЛ-6 кВ Ф.Гр-13</t>
  </si>
  <si>
    <t>10,00 2025.07.23</t>
  </si>
  <si>
    <t>12,00 2025.07.23</t>
  </si>
  <si>
    <t>ВЛ 6 (6.3) кВ Ф.Гр-13</t>
  </si>
  <si>
    <t>ВЛ-6 кВ Ф.Б4-19</t>
  </si>
  <si>
    <t>13,46 2025.07.25</t>
  </si>
  <si>
    <t>ВЛ 6 (6.3) кВ Ф.Б4-19</t>
  </si>
  <si>
    <t>15,23 2025.07.26</t>
  </si>
  <si>
    <t>16,10 2025.07.26</t>
  </si>
  <si>
    <t>17,05 2025.07.26</t>
  </si>
  <si>
    <t>19,18 2025.07.26</t>
  </si>
  <si>
    <t>23,02 2025.07.26</t>
  </si>
  <si>
    <t>01,58 2025.07.27</t>
  </si>
  <si>
    <t>ВЛ-6 кВ Ф.3-18</t>
  </si>
  <si>
    <t>17,59 2025.07.28</t>
  </si>
  <si>
    <t>ВЛ 6 (6.3) кВ Ф.3-18</t>
  </si>
  <si>
    <t>ВЛ-35 кВ ЦЛ-10</t>
  </si>
  <si>
    <t>18,13 2025.07.28</t>
  </si>
  <si>
    <t>ВЛ 35 кВ ЦЛ-10</t>
  </si>
  <si>
    <t>ВЛ-6 кВ Ф.26-11</t>
  </si>
  <si>
    <t>10,49 2025.07.30</t>
  </si>
  <si>
    <t>12,10 2025.07.30</t>
  </si>
  <si>
    <t>ВЛ 6 (6.3) кВ Ф.26-11</t>
  </si>
  <si>
    <t>ВЛ-35 кВ ЦЛ-1 ЦЛ-2</t>
  </si>
  <si>
    <t>16,37 2025.07.30</t>
  </si>
  <si>
    <t>19,48 2025.07.30</t>
  </si>
  <si>
    <t>16,47 2025.08.02</t>
  </si>
  <si>
    <t>18,52 2025.08.02</t>
  </si>
  <si>
    <t>15,15 2025.08.03</t>
  </si>
  <si>
    <t>17,55 2025.08.03</t>
  </si>
  <si>
    <t>16,57 2025.08.05</t>
  </si>
  <si>
    <t>19,22 2025.08.05</t>
  </si>
  <si>
    <t>09,59 2025.08.06</t>
  </si>
  <si>
    <t>17,56 2025.08.06</t>
  </si>
  <si>
    <t>ВЛ-6 кВ Ф.3-2</t>
  </si>
  <si>
    <t>16,28 2025.08.11</t>
  </si>
  <si>
    <t>ВЛ 6 (6.3) кВ Ф.3-2</t>
  </si>
  <si>
    <t>17,28 2025.08.11</t>
  </si>
  <si>
    <t>15,54 2025.08.12</t>
  </si>
  <si>
    <t>19,25 2025.08.12</t>
  </si>
  <si>
    <t>10,01 2025.08.13</t>
  </si>
  <si>
    <t>11,20 2025.08.13</t>
  </si>
  <si>
    <t>19,22 2025.08.15</t>
  </si>
  <si>
    <t>ВЛ-6 кВ Ф.6-13</t>
  </si>
  <si>
    <t>21,20 2025.08.15</t>
  </si>
  <si>
    <t>ВЛ 6 (6.3) кВ Ф.6-13</t>
  </si>
  <si>
    <t>13,31 2025.08.16</t>
  </si>
  <si>
    <t>17,37 2025.08.16</t>
  </si>
  <si>
    <t>17,45 2025.08.16</t>
  </si>
  <si>
    <t>ВЛ-6 кВ Ф.6-12</t>
  </si>
  <si>
    <t>19,12 2025.08.16</t>
  </si>
  <si>
    <t>20,24 2025.08.16</t>
  </si>
  <si>
    <t>ВЛ 6 (6.3) кВ Ф.6-12</t>
  </si>
  <si>
    <t>ВЛ-35 кВ ЦЛ-5 ЗМ</t>
  </si>
  <si>
    <t>15,44 2025.08.17</t>
  </si>
  <si>
    <t>ВЛ 35 кВ ЦЛ-5 ЗМ</t>
  </si>
  <si>
    <t>10,55 2025.08.19</t>
  </si>
  <si>
    <t>12,38 2025.08.19</t>
  </si>
  <si>
    <t>11,00 2025.08.20</t>
  </si>
  <si>
    <t>12,22 2025.08.20</t>
  </si>
  <si>
    <t>ВЛ-6 кВ Ф.5-7</t>
  </si>
  <si>
    <t>12,00 2025.08.20</t>
  </si>
  <si>
    <t>22,16 2025.08.20</t>
  </si>
  <si>
    <t>ВЛ 6 (6.3) кВ Ф.5-7</t>
  </si>
  <si>
    <t>01,48 2025.08.21</t>
  </si>
  <si>
    <t>06,45 2025.08.21</t>
  </si>
  <si>
    <t>10,43 2025.08.21</t>
  </si>
  <si>
    <t>ВЛ-6 кВ Ф.Чр-9</t>
  </si>
  <si>
    <t>15,29 2025.08.21</t>
  </si>
  <si>
    <t>ВЛ 6 (6.3) кВ Ф.Чр-9</t>
  </si>
  <si>
    <t>ВЛ-35 кВ ЦЛ-6</t>
  </si>
  <si>
    <t>15,45 2025.08.22</t>
  </si>
  <si>
    <t>ВЛ 35 кВ ЦЛ-6</t>
  </si>
  <si>
    <t>ВЛ-6 кВ Ф.7-5</t>
  </si>
  <si>
    <t>06,26 2025.08.25</t>
  </si>
  <si>
    <t>09,50 2025.08.25</t>
  </si>
  <si>
    <t>ВЛ 6 (6.3) кВ Ф.7-5</t>
  </si>
  <si>
    <t>ВЛ-6 кВ Ф.ЧР-4</t>
  </si>
  <si>
    <t>10,00 2025.08.25</t>
  </si>
  <si>
    <t>21,06 2025.08.25</t>
  </si>
  <si>
    <t>ВЛ 6 (6.3) кВ Ф.ЧР-4</t>
  </si>
  <si>
    <t>10,47 2025.08.29</t>
  </si>
  <si>
    <t>13,06 2025.08.29</t>
  </si>
  <si>
    <t>ВЛ-6 кВ Ф.2-16</t>
  </si>
  <si>
    <t>10,11 2025.08.30</t>
  </si>
  <si>
    <t>12,57 2025.08.30</t>
  </si>
  <si>
    <t>ВЛ 6 (6.3) кВ Ф.2-16</t>
  </si>
  <si>
    <t>ВЛ-6 кВ Ф.Кр-5</t>
  </si>
  <si>
    <t>06,56 2025.09.02</t>
  </si>
  <si>
    <t>07,36 2025.09.02</t>
  </si>
  <si>
    <t>ВЛ 6 (6.3) кВ Ф.Кр-5</t>
  </si>
  <si>
    <t>11,12 2025.09.02</t>
  </si>
  <si>
    <t>13,34 2025.09.02</t>
  </si>
  <si>
    <t>ВЛ-6 кВ Ф.Чр-15</t>
  </si>
  <si>
    <t>11,22 2025.09.04</t>
  </si>
  <si>
    <t>16,53 2025.09.04</t>
  </si>
  <si>
    <t>ВЛ 6 (6.3) кВ Ф.Чр-15</t>
  </si>
  <si>
    <t>ВЛ-6 кВ Ф.2-15</t>
  </si>
  <si>
    <t>17,56 2025.09.06</t>
  </si>
  <si>
    <t>19,28 2025.09.06</t>
  </si>
  <si>
    <t>ВЛ 6 (6.3) кВ Ф.2-15</t>
  </si>
  <si>
    <t>11,56 2025.09.08</t>
  </si>
  <si>
    <t>13,05 2025.09.08</t>
  </si>
  <si>
    <t>11,10 2025.09.17</t>
  </si>
  <si>
    <t>13,05 2025.09.17</t>
  </si>
  <si>
    <t>09,34 2025.09.19</t>
  </si>
  <si>
    <t>00,59 2025.09.20</t>
  </si>
  <si>
    <t>14,25 2025.09.20</t>
  </si>
  <si>
    <t>18,38 2025.09.20</t>
  </si>
  <si>
    <t>15,20 2025.09.27</t>
  </si>
  <si>
    <t>20,00 2025.09.27</t>
  </si>
  <si>
    <t>16,08 2025.10.02</t>
  </si>
  <si>
    <t>19,50 2025.10.02</t>
  </si>
  <si>
    <t>19,30 2025.10.02</t>
  </si>
  <si>
    <t>ВЛ-6 кВ Ф.24-2</t>
  </si>
  <si>
    <t>01,34 2025.10.03</t>
  </si>
  <si>
    <t>03,42 2025.10.03</t>
  </si>
  <si>
    <t>ВЛ 6 (6.3) кВ Ф.24-2</t>
  </si>
  <si>
    <t>ВЛ-6 кВ Ф.11-8</t>
  </si>
  <si>
    <t>11,11 2025.10.03</t>
  </si>
  <si>
    <t>ВЛ 6 (6.3) кВ Ф.11-8</t>
  </si>
  <si>
    <t>ВЛ-6 кВ Ф.24-10</t>
  </si>
  <si>
    <t>14,31 2025.10.03</t>
  </si>
  <si>
    <t>15,52 2025.10.03</t>
  </si>
  <si>
    <t>ВЛ 6 (6.3) кВ Ф.24-10</t>
  </si>
  <si>
    <t>18,00 2025.10.03</t>
  </si>
  <si>
    <t>18,09 2025.10.03</t>
  </si>
  <si>
    <t>09,12 2025.10.07</t>
  </si>
  <si>
    <t>12,01 2025.10.07</t>
  </si>
  <si>
    <t>ВЛ-6 кВ Ф.1-8</t>
  </si>
  <si>
    <t>10,30 2025.10.07</t>
  </si>
  <si>
    <t>18,05 2025.10.07</t>
  </si>
  <si>
    <t>ВЛ 6 (6.3) кВ Ф.1-8</t>
  </si>
  <si>
    <t>15,01 2025.10.07</t>
  </si>
  <si>
    <t>15,02 2025.10.07</t>
  </si>
  <si>
    <t>ВЛ-6 кВ Ф.1-32</t>
  </si>
  <si>
    <t>12,30 2025.10.09</t>
  </si>
  <si>
    <t>15,00 2025.10.09</t>
  </si>
  <si>
    <t>ВЛ 6 (6.3) кВ Ф.1-32</t>
  </si>
  <si>
    <t>ВЛ-6 кВ Ф.6-18</t>
  </si>
  <si>
    <t>15,30 2025.10.09</t>
  </si>
  <si>
    <t>19,19 2025.10.09</t>
  </si>
  <si>
    <t>ВЛ 6 (6.3) кВ Ф.6-18</t>
  </si>
  <si>
    <t>ВЛ-6 кВ Ф.Б4-27</t>
  </si>
  <si>
    <t>10,00 2025.10.10</t>
  </si>
  <si>
    <t>13,20 2025.10.10</t>
  </si>
  <si>
    <t>ВЛ 6 (6.3) кВ Ф.Б4-27</t>
  </si>
  <si>
    <t>12,32 2025.10.16</t>
  </si>
  <si>
    <t>14,08 2025.10.16</t>
  </si>
  <si>
    <t>14,51 2025.10.16</t>
  </si>
  <si>
    <t>18,17 2025.10.16</t>
  </si>
  <si>
    <t>ВЛ-6 кВ Ф.8-3</t>
  </si>
  <si>
    <t>15,43 2025.10.16</t>
  </si>
  <si>
    <t>17,28 2025.10.16</t>
  </si>
  <si>
    <t>ВЛ 6 (6.3) кВ Ф.8-3</t>
  </si>
  <si>
    <t>13,32 2025.10.17</t>
  </si>
  <si>
    <t>18,22 2025.10.17</t>
  </si>
  <si>
    <t>11,13 2025.10.18</t>
  </si>
  <si>
    <t>13,14 2025.10.18</t>
  </si>
  <si>
    <t>09,14 2025.10.21</t>
  </si>
  <si>
    <t>12,07 2025.10.21</t>
  </si>
  <si>
    <t>10,46 2025.10.22</t>
  </si>
  <si>
    <t>13,12 2025.10.22</t>
  </si>
  <si>
    <t>ВЛ-6 кВ Ф.7-15</t>
  </si>
  <si>
    <t>14,26 2025.11.01</t>
  </si>
  <si>
    <t>17,12 2025.11.01</t>
  </si>
  <si>
    <t>ВЛ 6 (6.3) кВ Ф.7-15</t>
  </si>
  <si>
    <t>ВЛ-6 кВ Ф.24-1</t>
  </si>
  <si>
    <t>10,59 2025.11.15</t>
  </si>
  <si>
    <t>12,37 2025.11.15</t>
  </si>
  <si>
    <t>ВЛ 6 (6.3) кВ Ф.24-1</t>
  </si>
  <si>
    <t>ВЛ-6 кВ Ф.2-2</t>
  </si>
  <si>
    <t>14,35 2025.11.17</t>
  </si>
  <si>
    <t>17,05 2025.11.17</t>
  </si>
  <si>
    <t>ВЛ 6 (6.3) кВ Ф.2-2</t>
  </si>
  <si>
    <t>09,53 2025.11.18</t>
  </si>
  <si>
    <t>17,24 2025.11.18</t>
  </si>
  <si>
    <t>10,08 2025.11.19</t>
  </si>
  <si>
    <t>13,08 2025.11.19</t>
  </si>
  <si>
    <t>10,11 2025.11.19</t>
  </si>
  <si>
    <t>17,09 2025.11.19</t>
  </si>
  <si>
    <t>16,33 2025.11.20</t>
  </si>
  <si>
    <t>19,55 2025.11.20</t>
  </si>
  <si>
    <t>ВЛ-6 кВ Ф.Б5-21</t>
  </si>
  <si>
    <t>15,42 2025.11.22</t>
  </si>
  <si>
    <t>17,42 2025.11.22</t>
  </si>
  <si>
    <t>ВЛ 6 (6.3) кВ Ф.Б5-21</t>
  </si>
  <si>
    <t>08,58 2025.11.23</t>
  </si>
  <si>
    <t>10,56 2025.11.23</t>
  </si>
  <si>
    <t>ВЛ-6 кВ Ф.3-1</t>
  </si>
  <si>
    <t>09,50 2025.11.24</t>
  </si>
  <si>
    <t>11,47 2025.11.24</t>
  </si>
  <si>
    <t>ВЛ 6 (6.3) кВ Ф.3-1</t>
  </si>
  <si>
    <t>ПС 35/6 кВ №502</t>
  </si>
  <si>
    <t>11,15 2025.11.25</t>
  </si>
  <si>
    <t>16,57 2025.11.25</t>
  </si>
  <si>
    <t>ПС 35/6 кВ №502 В-6 1Т</t>
  </si>
  <si>
    <t>ВЛ-6 кВ Ф.12-8</t>
  </si>
  <si>
    <t>10,05 2025.12.05</t>
  </si>
  <si>
    <t>16,10 2025.12.05</t>
  </si>
  <si>
    <t>ВЛ 6 (6.3) кВ Ф.12-8</t>
  </si>
  <si>
    <t>10,02 2025.12.16</t>
  </si>
  <si>
    <t>12,54 2025.12.16</t>
  </si>
  <si>
    <t>ВЛ-6 кВ  Ф.9-16</t>
  </si>
  <si>
    <t>11,16 2025.12.25</t>
  </si>
  <si>
    <t>ВЛ 6 (6.3) кВ Ф.9-16</t>
  </si>
  <si>
    <t>ВЛ-6 кВ Ф.9-13</t>
  </si>
  <si>
    <t>ВЛ 6 (6.3) кВ Ф.9-13</t>
  </si>
  <si>
    <t>00,41 2025.12.31</t>
  </si>
  <si>
    <t>11,08 2025.12.31</t>
  </si>
  <si>
    <t>Акт №1 17.01.2025</t>
  </si>
  <si>
    <t>4.12</t>
  </si>
  <si>
    <t>Акт №3 04.02.2025</t>
  </si>
  <si>
    <t>Акт №4 07.02.2025</t>
  </si>
  <si>
    <t>Акт №5 14.02.2025</t>
  </si>
  <si>
    <t>Акт №7 11.02.2025</t>
  </si>
  <si>
    <t>Акт №8 26.02.2025</t>
  </si>
  <si>
    <t>Акт №9 24.02.2025</t>
  </si>
  <si>
    <t>Акт №13 27.03.2025</t>
  </si>
  <si>
    <t>3.4.13</t>
  </si>
  <si>
    <t>Акт №14 01.04.2025</t>
  </si>
  <si>
    <t>Акт №16 31.03.2025</t>
  </si>
  <si>
    <t>Акт №19 08.04.2025</t>
  </si>
  <si>
    <t>4.16</t>
  </si>
  <si>
    <t>Акт №23 06.05.2025</t>
  </si>
  <si>
    <t>Акт №25 07.05.2025</t>
  </si>
  <si>
    <t>Акт №26 12.05.2025</t>
  </si>
  <si>
    <t>Акт №27 20.05.2025</t>
  </si>
  <si>
    <t>Акт №28 16.05.2025</t>
  </si>
  <si>
    <t>Акт №29 21.05.2025</t>
  </si>
  <si>
    <t>Акт №30 19.05.2025</t>
  </si>
  <si>
    <t>Акт №31 26.05.2025</t>
  </si>
  <si>
    <t>Акт №34 30.05.2025</t>
  </si>
  <si>
    <t>Акт №35 04.06.2025</t>
  </si>
  <si>
    <t>Акт №36 05.06.2025</t>
  </si>
  <si>
    <t>Акт №38 06.06.2025</t>
  </si>
  <si>
    <t>Акт №39 27.05.2025</t>
  </si>
  <si>
    <t>Акт №42 11.06.2025</t>
  </si>
  <si>
    <t>Акт №45 24.06.2025</t>
  </si>
  <si>
    <t>Акт №46 23.06.2025</t>
  </si>
  <si>
    <t>Акт №47 26.06.2025</t>
  </si>
  <si>
    <t>Акт №48 24.06.2025</t>
  </si>
  <si>
    <t>Акт №49 18.06.2025</t>
  </si>
  <si>
    <t>Акт №51 30.06.2025</t>
  </si>
  <si>
    <t>Акт №58 02.07.2025</t>
  </si>
  <si>
    <t>Акт №62 10.07.2025</t>
  </si>
  <si>
    <t>Акт №65 08.07.2025</t>
  </si>
  <si>
    <t>Акт №66 10.07.2025</t>
  </si>
  <si>
    <t>4.10</t>
  </si>
  <si>
    <t>Акт №71 15.07.2025</t>
  </si>
  <si>
    <t>Акт №72 15.07.2025</t>
  </si>
  <si>
    <t>Акт №73 17.07.2025</t>
  </si>
  <si>
    <t>Акт №75 14.07.2025</t>
  </si>
  <si>
    <t>Акт №74 14.07.2025</t>
  </si>
  <si>
    <t>Акт №79 31.07.2025</t>
  </si>
  <si>
    <t>Акт №82 24.07.2025</t>
  </si>
  <si>
    <t>Акт №85 29.07.2025</t>
  </si>
  <si>
    <t>Акт №86 31.07.2025</t>
  </si>
  <si>
    <t>Акт №87 05.08.2025</t>
  </si>
  <si>
    <t>Акт №88 12.08.2025</t>
  </si>
  <si>
    <t>Акт №89 04.08.2025</t>
  </si>
  <si>
    <t>Акт №91 15.08.2025</t>
  </si>
  <si>
    <t>Акт №93 07.08.2025</t>
  </si>
  <si>
    <t>Акт №96 28.08.2025</t>
  </si>
  <si>
    <t>Акт №97 28.08.2025</t>
  </si>
  <si>
    <t>Акт №100 19.08.2025</t>
  </si>
  <si>
    <t>Акт №101 20.08.2025</t>
  </si>
  <si>
    <t>4.13</t>
  </si>
  <si>
    <t>Акт №103 01.09.2025</t>
  </si>
  <si>
    <t>Акт №105 08.09.2025</t>
  </si>
  <si>
    <t>Акт №106 08.09.2025</t>
  </si>
  <si>
    <t>Акт №107 08.09.2025</t>
  </si>
  <si>
    <t>Акт №108 09.09.2025</t>
  </si>
  <si>
    <t>Акт №109 12.09.2025</t>
  </si>
  <si>
    <t>Акт №115 19.09.2025</t>
  </si>
  <si>
    <t>Акт №120 07.10.2025</t>
  </si>
  <si>
    <t>Акт №121 08.10.2025</t>
  </si>
  <si>
    <t>Акт №122 19.10.2025</t>
  </si>
  <si>
    <t>Акт №123 25.11.2025</t>
  </si>
  <si>
    <t>Акт №126 03.01.2026</t>
  </si>
  <si>
    <t>=ЕСЛИ(AE41=0;0;1)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</si>
</sst>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&quot;$&quot;* #,##0.00_);_(&quot;$&quot;* \(#,##0.00\);_(&quot;$&quot;* &quot;-&quot;??_);_(@_)"/>
    <numFmt numFmtId="165" formatCode="#,##0.0000"/>
    <numFmt numFmtId="166" formatCode="#,##0.00000"/>
    <numFmt numFmtId="167" formatCode="0.0"/>
    <numFmt numFmtId="168" formatCode="#,##0.0"/>
    <numFmt numFmtId="169" formatCode="#,##0.000"/>
    <numFmt numFmtId="170" formatCode="dd\.mm\.yyyy"/>
    <numFmt numFmtId="171" formatCode="0.000"/>
    <numFmt numFmtId="172" formatCode="0.000000"/>
  </numFmts>
  <fonts count="39" x14ac:knownFonts="1">
    <font>
      <sz val="9"/>
      <color rgb="FF000000"/>
      <name val="Tahoma"/>
    </font>
    <font>
      <sz val="11"/>
      <color rgb="FFFF0000"/>
      <name val="Calibri"/>
      <scheme val="minor"/>
    </font>
    <font>
      <sz val="9"/>
      <name val="Tahoma"/>
    </font>
    <font>
      <sz val="11"/>
      <color rgb="FFFFFFFF"/>
      <name val="Tahoma"/>
    </font>
    <font>
      <sz val="11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9"/>
      <color rgb="FFFF0000"/>
      <name val="Tahoma"/>
    </font>
    <font>
      <sz val="11"/>
      <color rgb="FF000000"/>
      <name val="Calibri"/>
      <scheme val="minor"/>
    </font>
    <font>
      <b/>
      <sz val="1"/>
      <color theme="0"/>
      <name val="Tahoma"/>
    </font>
    <font>
      <b/>
      <sz val="9"/>
      <name val="Tahoma"/>
    </font>
    <font>
      <sz val="12"/>
      <color rgb="FFBCBCBC"/>
      <name val="Tahoma"/>
    </font>
    <font>
      <sz val="9"/>
      <color rgb="FF333399"/>
      <name val="Tahoma"/>
    </font>
    <font>
      <sz val="9"/>
      <color rgb="FF808080"/>
      <name val="Tahoma"/>
    </font>
    <font>
      <i/>
      <sz val="9"/>
      <name val="Tahoma"/>
    </font>
    <font>
      <sz val="9"/>
      <color theme="1"/>
      <name val="Tahoma"/>
    </font>
    <font>
      <sz val="8"/>
      <color rgb="FFC0C0C0"/>
      <name val="Tahoma"/>
    </font>
    <font>
      <sz val="1"/>
      <color theme="0"/>
      <name val="Tahoma"/>
    </font>
    <font>
      <sz val="9"/>
      <color theme="0" tint="-0.34998626667073579"/>
      <name val="Tahoma"/>
    </font>
    <font>
      <sz val="8"/>
      <color rgb="FF333333"/>
      <name val="Tahoma"/>
    </font>
    <font>
      <sz val="10"/>
      <name val="Tahoma"/>
    </font>
    <font>
      <b/>
      <sz val="10"/>
      <color rgb="FFFF0000"/>
      <name val="Arial Cyr"/>
    </font>
    <font>
      <sz val="11"/>
      <color rgb="FFBCBCBC"/>
      <name val="Tahoma"/>
    </font>
    <font>
      <b/>
      <sz val="9"/>
      <color rgb="FF000080"/>
      <name val="Tahoma"/>
    </font>
    <font>
      <sz val="11"/>
      <color rgb="FF000000"/>
      <name val="Calibri"/>
    </font>
    <font>
      <sz val="9"/>
      <color rgb="FFFFFFFF"/>
      <name val="Tahoma"/>
    </font>
    <font>
      <sz val="9"/>
      <color theme="0"/>
      <name val="Tahoma"/>
    </font>
    <font>
      <sz val="8"/>
      <name val="Tahoma"/>
    </font>
    <font>
      <sz val="8"/>
      <color rgb="FFFFFFFF"/>
      <name val="Tahoma"/>
    </font>
    <font>
      <b/>
      <sz val="9"/>
      <color rgb="FF000000"/>
      <name val="Tahoma"/>
    </font>
    <font>
      <b/>
      <sz val="10"/>
      <name val="Tahoma"/>
    </font>
    <font>
      <sz val="9"/>
      <color rgb="FF000000"/>
      <name val="Tahoma"/>
    </font>
    <font>
      <sz val="9"/>
      <name val="Tahoma"/>
      <family val="2"/>
      <charset val="204"/>
    </font>
    <font>
      <sz val="7"/>
      <name val="Tahoma"/>
      <family val="2"/>
      <charset val="204"/>
    </font>
    <font>
      <b/>
      <sz val="10"/>
      <color theme="9" tint="-0.249977111117893"/>
      <name val="Tahoma"/>
      <family val="2"/>
      <charset val="204"/>
    </font>
    <font>
      <b/>
      <sz val="10"/>
      <color rgb="FF000000"/>
      <name val="Tahoma"/>
      <family val="2"/>
      <charset val="204"/>
    </font>
    <font>
      <vertAlign val="subscript"/>
      <sz val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3FAFD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lightDown">
        <fgColor rgb="FFFFFFFF"/>
        <bgColor rgb="FFF2F2F2"/>
      </patternFill>
    </fill>
    <fill>
      <patternFill patternType="solid">
        <fgColor rgb="FFC0C0C0"/>
      </patternFill>
    </fill>
    <fill>
      <patternFill patternType="lightDown">
        <fgColor rgb="FFD8D8D8"/>
        <bgColor rgb="FFFFFFFF"/>
      </patternFill>
    </fill>
    <fill>
      <patternFill patternType="solid">
        <fgColor theme="0" tint="-0.249977111117893"/>
        <bgColor indexed="65"/>
      </patternFill>
    </fill>
    <fill>
      <patternFill patternType="lightDown">
        <fgColor rgb="FFBCBCBC"/>
      </patternFill>
    </fill>
    <fill>
      <patternFill patternType="solid">
        <fgColor rgb="FF000080"/>
      </patternFill>
    </fill>
    <fill>
      <patternFill patternType="solid">
        <fgColor rgb="FFFF8080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rgb="FFB2B2B2"/>
      </patternFill>
    </fill>
    <fill>
      <patternFill patternType="solid">
        <fgColor rgb="FFBCBCBC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CC0000"/>
      </patternFill>
    </fill>
  </fills>
  <borders count="57">
    <border>
      <left/>
      <right/>
      <top/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rgb="FFC0C0C0"/>
      </bottom>
      <diagonal/>
    </border>
    <border>
      <left/>
      <right/>
      <top style="thin">
        <color theme="0" tint="-0.249977111117893"/>
      </top>
      <bottom style="thin">
        <color rgb="FFC0C0C0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C0C0C0"/>
      </left>
      <right/>
      <top style="thin">
        <color rgb="FFC0C0C0"/>
      </top>
      <bottom style="thin">
        <color theme="0" tint="-0.34998626667073579"/>
      </bottom>
      <diagonal/>
    </border>
    <border>
      <left/>
      <right/>
      <top style="thin">
        <color rgb="FFC0C0C0"/>
      </top>
      <bottom style="thin">
        <color theme="0" tint="-0.34998626667073579"/>
      </bottom>
      <diagonal/>
    </border>
    <border>
      <left/>
      <right style="thin">
        <color rgb="FFC0C0C0"/>
      </right>
      <top style="thin">
        <color rgb="FFC0C0C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BCBCBC"/>
      </bottom>
      <diagonal/>
    </border>
    <border>
      <left/>
      <right/>
      <top style="thin">
        <color rgb="FFC0C0C0"/>
      </top>
      <bottom style="thin">
        <color rgb="FFBCBCBC"/>
      </bottom>
      <diagonal/>
    </border>
    <border>
      <left style="thin">
        <color rgb="FFC0C0C0"/>
      </left>
      <right/>
      <top/>
      <bottom style="thin">
        <color rgb="FFBCBCBC"/>
      </bottom>
      <diagonal/>
    </border>
    <border>
      <left/>
      <right style="thin">
        <color rgb="FFBCBCBC"/>
      </right>
      <top style="thin">
        <color rgb="FFC0C0C0"/>
      </top>
      <bottom style="thin">
        <color rgb="FFC0C0C0"/>
      </bottom>
      <diagonal/>
    </border>
  </borders>
  <cellStyleXfs count="12">
    <xf numFmtId="49" fontId="0" fillId="0" borderId="0" applyFill="0" applyBorder="0">
      <alignment vertical="top"/>
    </xf>
    <xf numFmtId="49" fontId="2" fillId="3" borderId="1">
      <alignment horizontal="left" vertical="center" wrapText="1"/>
    </xf>
    <xf numFmtId="49" fontId="2" fillId="3" borderId="1">
      <alignment horizontal="center" vertical="center" wrapText="1"/>
    </xf>
    <xf numFmtId="49" fontId="31" fillId="4" borderId="1">
      <alignment horizontal="center" vertical="center" wrapText="1"/>
    </xf>
    <xf numFmtId="49" fontId="2" fillId="4" borderId="1">
      <alignment horizontal="center" vertical="center" wrapText="1"/>
    </xf>
    <xf numFmtId="49" fontId="2" fillId="4" borderId="1">
      <alignment horizontal="left" vertical="center" wrapText="1"/>
    </xf>
    <xf numFmtId="1" fontId="2" fillId="4" borderId="1">
      <alignment horizontal="right" vertical="center" wrapText="1"/>
    </xf>
    <xf numFmtId="169" fontId="2" fillId="3" borderId="1">
      <alignment horizontal="right" vertical="center" wrapText="1"/>
    </xf>
    <xf numFmtId="3" fontId="2" fillId="3" borderId="1">
      <alignment horizontal="right" vertical="center" wrapText="1"/>
    </xf>
    <xf numFmtId="49" fontId="2" fillId="4" borderId="1">
      <alignment horizontal="right" vertical="center" wrapText="1"/>
    </xf>
    <xf numFmtId="169" fontId="2" fillId="4" borderId="1">
      <alignment horizontal="right" vertical="center" wrapText="1"/>
    </xf>
    <xf numFmtId="3" fontId="2" fillId="4" borderId="1">
      <alignment horizontal="right" vertical="center" wrapText="1"/>
    </xf>
  </cellStyleXfs>
  <cellXfs count="745">
    <xf numFmtId="49" fontId="0" fillId="0" borderId="0" xfId="0" applyNumberFormat="1" applyFont="1">
      <alignment vertical="top"/>
    </xf>
    <xf numFmtId="49" fontId="2" fillId="3" borderId="1" xfId="1" applyNumberFormat="1" applyFont="1" applyFill="1" applyBorder="1">
      <alignment horizontal="left" vertical="center" wrapText="1"/>
    </xf>
    <xf numFmtId="49" fontId="2" fillId="3" borderId="1" xfId="2" applyNumberFormat="1" applyFont="1" applyFill="1" applyBorder="1">
      <alignment horizontal="center" vertical="center" wrapText="1"/>
    </xf>
    <xf numFmtId="49" fontId="0" fillId="4" borderId="1" xfId="3" applyNumberFormat="1" applyFont="1" applyFill="1" applyBorder="1">
      <alignment horizontal="center" vertical="center" wrapText="1"/>
    </xf>
    <xf numFmtId="49" fontId="2" fillId="4" borderId="1" xfId="4" applyNumberFormat="1" applyFont="1" applyFill="1" applyBorder="1">
      <alignment horizontal="center" vertical="center" wrapText="1"/>
    </xf>
    <xf numFmtId="49" fontId="2" fillId="4" borderId="1" xfId="5" applyNumberFormat="1" applyFont="1" applyFill="1" applyBorder="1">
      <alignment horizontal="left" vertical="center" wrapText="1"/>
    </xf>
    <xf numFmtId="1" fontId="2" fillId="4" borderId="1" xfId="6" applyNumberFormat="1" applyFont="1" applyFill="1" applyBorder="1">
      <alignment horizontal="right" vertical="center" wrapText="1"/>
    </xf>
    <xf numFmtId="169" fontId="2" fillId="3" borderId="1" xfId="7" applyNumberFormat="1" applyFont="1" applyFill="1" applyBorder="1">
      <alignment horizontal="right" vertical="center" wrapText="1"/>
    </xf>
    <xf numFmtId="3" fontId="2" fillId="3" borderId="1" xfId="8" applyNumberFormat="1" applyFont="1" applyFill="1" applyBorder="1">
      <alignment horizontal="right" vertical="center" wrapText="1"/>
    </xf>
    <xf numFmtId="49" fontId="2" fillId="4" borderId="1" xfId="9" applyNumberFormat="1" applyFont="1" applyFill="1" applyBorder="1">
      <alignment horizontal="right" vertical="center" wrapText="1"/>
    </xf>
    <xf numFmtId="169" fontId="2" fillId="4" borderId="1" xfId="10" applyNumberFormat="1" applyFont="1" applyFill="1" applyBorder="1">
      <alignment horizontal="right" vertical="center" wrapText="1"/>
    </xf>
    <xf numFmtId="3" fontId="2" fillId="4" borderId="1" xfId="11" applyNumberFormat="1" applyFont="1" applyFill="1" applyBorder="1">
      <alignment horizontal="right" vertical="center" wrapText="1"/>
    </xf>
    <xf numFmtId="49" fontId="3" fillId="0" borderId="0" xfId="0" applyNumberFormat="1" applyFont="1" applyAlignment="1">
      <alignment wrapText="1"/>
    </xf>
    <xf numFmtId="49" fontId="4" fillId="0" borderId="2" xfId="0" applyNumberFormat="1" applyFont="1" applyBorder="1" applyAlignment="1">
      <alignment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7" borderId="0" xfId="0" applyNumberFormat="1" applyFont="1" applyFill="1" applyAlignment="1">
      <alignment horizontal="right" vertical="center" wrapText="1" indent="1"/>
    </xf>
    <xf numFmtId="49" fontId="2" fillId="7" borderId="0" xfId="0" applyNumberFormat="1" applyFont="1" applyFill="1" applyAlignment="1">
      <alignment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7" borderId="0" xfId="0" applyNumberFormat="1" applyFont="1" applyFill="1" applyAlignment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>
      <alignment vertical="top"/>
    </xf>
    <xf numFmtId="49" fontId="0" fillId="8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7" borderId="8" xfId="0" applyNumberFormat="1" applyFont="1" applyFill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7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right" vertical="center" wrapText="1"/>
    </xf>
    <xf numFmtId="165" fontId="2" fillId="0" borderId="16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1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6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6" xfId="0" applyNumberFormat="1" applyFont="1" applyBorder="1" applyAlignment="1">
      <alignment horizontal="right" vertical="center" wrapText="1"/>
    </xf>
    <xf numFmtId="49" fontId="2" fillId="0" borderId="16" xfId="0" applyNumberFormat="1" applyFont="1" applyBorder="1" applyAlignment="1">
      <alignment vertical="center" wrapText="1"/>
    </xf>
    <xf numFmtId="49" fontId="13" fillId="7" borderId="0" xfId="0" applyNumberFormat="1" applyFont="1" applyFill="1" applyAlignment="1">
      <alignment vertical="center" wrapText="1"/>
    </xf>
    <xf numFmtId="49" fontId="2" fillId="7" borderId="15" xfId="0" applyNumberFormat="1" applyFont="1" applyFill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14" fillId="7" borderId="0" xfId="0" applyNumberFormat="1" applyFont="1" applyFill="1" applyAlignment="1">
      <alignment vertical="center" wrapText="1"/>
    </xf>
    <xf numFmtId="49" fontId="2" fillId="0" borderId="19" xfId="0" applyNumberFormat="1" applyFont="1" applyBorder="1" applyAlignment="1">
      <alignment vertical="center" wrapText="1"/>
    </xf>
    <xf numFmtId="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6" borderId="1" xfId="0" applyNumberFormat="1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166" fontId="2" fillId="0" borderId="16" xfId="0" applyNumberFormat="1" applyFont="1" applyBorder="1" applyAlignment="1">
      <alignment horizontal="right" vertical="center" wrapText="1"/>
    </xf>
    <xf numFmtId="49" fontId="10" fillId="7" borderId="0" xfId="0" applyNumberFormat="1" applyFont="1" applyFill="1" applyAlignment="1">
      <alignment horizontal="right" vertical="center" wrapText="1"/>
    </xf>
    <xf numFmtId="168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Alignment="1">
      <alignment vertical="center" wrapText="1"/>
    </xf>
    <xf numFmtId="49" fontId="14" fillId="7" borderId="0" xfId="0" applyNumberFormat="1" applyFont="1" applyFill="1" applyAlignment="1">
      <alignment horizontal="center" vertical="center" wrapText="1"/>
    </xf>
    <xf numFmtId="49" fontId="2" fillId="10" borderId="16" xfId="0" applyNumberFormat="1" applyFont="1" applyFill="1" applyBorder="1" applyAlignment="1">
      <alignment horizontal="center" vertical="center" wrapText="1"/>
    </xf>
    <xf numFmtId="166" fontId="2" fillId="6" borderId="1" xfId="0" applyNumberFormat="1" applyFont="1" applyFill="1" applyBorder="1" applyAlignment="1">
      <alignment horizontal="right" vertical="center" wrapText="1"/>
    </xf>
    <xf numFmtId="49" fontId="10" fillId="7" borderId="0" xfId="0" applyNumberFormat="1" applyFont="1" applyFill="1" applyAlignment="1">
      <alignment horizontal="left" vertical="center" wrapText="1"/>
    </xf>
    <xf numFmtId="3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10" borderId="15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7" borderId="0" xfId="0" applyNumberFormat="1" applyFont="1" applyFill="1" applyAlignment="1">
      <alignment horizontal="center" vertical="center" wrapText="1"/>
    </xf>
    <xf numFmtId="169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11" borderId="21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10" borderId="17" xfId="0" applyNumberFormat="1" applyFont="1" applyFill="1" applyBorder="1" applyAlignment="1">
      <alignment horizontal="center" vertical="center" wrapText="1"/>
    </xf>
    <xf numFmtId="49" fontId="2" fillId="7" borderId="15" xfId="0" applyNumberFormat="1" applyFont="1" applyFill="1" applyBorder="1" applyAlignment="1">
      <alignment vertical="center" wrapText="1"/>
    </xf>
    <xf numFmtId="49" fontId="8" fillId="0" borderId="16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vertical="center" wrapText="1"/>
    </xf>
    <xf numFmtId="165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1" fontId="2" fillId="6" borderId="1" xfId="0" applyNumberFormat="1" applyFont="1" applyFill="1" applyBorder="1" applyAlignment="1">
      <alignment horizontal="right" vertical="center" wrapText="1"/>
    </xf>
    <xf numFmtId="9" fontId="2" fillId="6" borderId="1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168" fontId="2" fillId="6" borderId="1" xfId="0" applyNumberFormat="1" applyFont="1" applyFill="1" applyBorder="1" applyAlignment="1">
      <alignment horizontal="right" vertical="center" wrapText="1"/>
    </xf>
    <xf numFmtId="165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10" fontId="2" fillId="6" borderId="1" xfId="0" applyNumberFormat="1" applyFont="1" applyFill="1" applyBorder="1" applyAlignment="1">
      <alignment horizontal="right" vertical="center" wrapText="1"/>
    </xf>
    <xf numFmtId="49" fontId="2" fillId="12" borderId="16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20" fillId="2" borderId="1" xfId="0" applyNumberFormat="1" applyFont="1" applyFill="1" applyBorder="1" applyAlignment="1">
      <alignment vertical="center" wrapText="1"/>
    </xf>
    <xf numFmtId="49" fontId="1" fillId="0" borderId="0" xfId="0" applyNumberFormat="1" applyFont="1">
      <alignment vertical="top"/>
    </xf>
    <xf numFmtId="49" fontId="24" fillId="0" borderId="0" xfId="0" applyNumberFormat="1" applyFont="1">
      <alignment vertical="top"/>
    </xf>
    <xf numFmtId="49" fontId="0" fillId="0" borderId="14" xfId="0" applyNumberFormat="1" applyFont="1" applyBorder="1" applyAlignment="1">
      <alignment horizontal="center" vertical="top"/>
    </xf>
    <xf numFmtId="49" fontId="10" fillId="6" borderId="17" xfId="0" applyNumberFormat="1" applyFont="1" applyFill="1" applyBorder="1" applyAlignment="1">
      <alignment vertical="center" wrapText="1"/>
    </xf>
    <xf numFmtId="49" fontId="25" fillId="14" borderId="1" xfId="0" applyNumberFormat="1" applyFont="1" applyFill="1" applyBorder="1" applyAlignment="1">
      <alignment horizontal="center" vertical="center"/>
    </xf>
    <xf numFmtId="49" fontId="10" fillId="15" borderId="16" xfId="0" applyNumberFormat="1" applyFont="1" applyFill="1" applyBorder="1" applyAlignment="1">
      <alignment horizontal="left" vertical="center" wrapText="1"/>
    </xf>
    <xf numFmtId="49" fontId="10" fillId="15" borderId="16" xfId="0" applyNumberFormat="1" applyFont="1" applyFill="1" applyBorder="1" applyAlignment="1">
      <alignment horizontal="left" wrapText="1"/>
    </xf>
    <xf numFmtId="49" fontId="25" fillId="16" borderId="0" xfId="0" applyNumberFormat="1" applyFont="1" applyFill="1" applyAlignment="1">
      <alignment horizontal="center" vertical="top" wrapText="1"/>
    </xf>
    <xf numFmtId="49" fontId="10" fillId="15" borderId="16" xfId="0" applyNumberFormat="1" applyFont="1" applyFill="1" applyBorder="1" applyAlignment="1">
      <alignment horizontal="center" vertical="center" wrapText="1"/>
    </xf>
    <xf numFmtId="49" fontId="26" fillId="15" borderId="0" xfId="0" applyNumberFormat="1" applyFont="1" applyFill="1" applyAlignment="1">
      <alignment horizontal="center" vertical="center" wrapText="1"/>
    </xf>
    <xf numFmtId="49" fontId="27" fillId="4" borderId="16" xfId="0" applyNumberFormat="1" applyFont="1" applyFill="1" applyBorder="1" applyAlignment="1" applyProtection="1">
      <alignment horizontal="right" vertical="center" wrapText="1"/>
      <protection locked="0"/>
    </xf>
    <xf numFmtId="49" fontId="0" fillId="4" borderId="1" xfId="0" applyNumberFormat="1" applyFont="1" applyFill="1" applyBorder="1" applyAlignment="1" applyProtection="1">
      <alignment horizontal="left" vertical="center"/>
      <protection locked="0"/>
    </xf>
    <xf numFmtId="49" fontId="27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17" borderId="0" xfId="0" applyNumberFormat="1" applyFont="1" applyFill="1" applyAlignment="1">
      <alignment horizontal="right" wrapText="1"/>
    </xf>
    <xf numFmtId="49" fontId="2" fillId="0" borderId="16" xfId="0" applyNumberFormat="1" applyFont="1" applyBorder="1" applyAlignment="1">
      <alignment vertical="top" wrapText="1"/>
    </xf>
    <xf numFmtId="49" fontId="2" fillId="17" borderId="0" xfId="0" applyNumberFormat="1" applyFont="1" applyFill="1" applyAlignment="1">
      <alignment horizontal="left" wrapText="1"/>
    </xf>
    <xf numFmtId="49" fontId="28" fillId="16" borderId="23" xfId="0" applyNumberFormat="1" applyFont="1" applyFill="1" applyBorder="1" applyAlignment="1">
      <alignment horizontal="center" vertical="top" wrapText="1"/>
    </xf>
    <xf numFmtId="49" fontId="25" fillId="16" borderId="0" xfId="0" applyNumberFormat="1" applyFont="1" applyFill="1" applyAlignment="1">
      <alignment horizontal="left" wrapText="1"/>
    </xf>
    <xf numFmtId="49" fontId="0" fillId="0" borderId="29" xfId="0" applyNumberFormat="1" applyFont="1" applyBorder="1" applyAlignment="1">
      <alignment vertical="top" wrapText="1"/>
    </xf>
    <xf numFmtId="49" fontId="0" fillId="0" borderId="29" xfId="0" applyNumberFormat="1" applyFont="1" applyBorder="1" applyAlignment="1">
      <alignment horizontal="center" wrapText="1"/>
    </xf>
    <xf numFmtId="1" fontId="0" fillId="0" borderId="0" xfId="0" applyNumberFormat="1" applyFont="1">
      <alignment vertical="top"/>
    </xf>
    <xf numFmtId="49" fontId="0" fillId="0" borderId="30" xfId="0" applyNumberFormat="1" applyFont="1" applyBorder="1" applyAlignment="1">
      <alignment vertical="top" wrapText="1"/>
    </xf>
    <xf numFmtId="1" fontId="0" fillId="0" borderId="16" xfId="0" applyNumberFormat="1" applyFont="1" applyBorder="1" applyAlignment="1">
      <alignment horizontal="center" vertical="top"/>
    </xf>
    <xf numFmtId="1" fontId="0" fillId="0" borderId="30" xfId="0" applyNumberFormat="1" applyFont="1" applyBorder="1" applyAlignment="1">
      <alignment horizontal="center" vertical="top"/>
    </xf>
    <xf numFmtId="49" fontId="0" fillId="0" borderId="16" xfId="0" applyNumberFormat="1" applyFont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top"/>
    </xf>
    <xf numFmtId="49" fontId="0" fillId="0" borderId="16" xfId="0" applyNumberFormat="1" applyFont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0" fontId="2" fillId="0" borderId="0" xfId="0" applyNumberFormat="1" applyFont="1">
      <alignment vertical="top"/>
    </xf>
    <xf numFmtId="49" fontId="0" fillId="0" borderId="16" xfId="0" applyNumberFormat="1" applyFont="1" applyBorder="1" applyAlignment="1">
      <alignment horizontal="center" vertical="top"/>
    </xf>
    <xf numFmtId="49" fontId="0" fillId="0" borderId="17" xfId="0" applyNumberFormat="1" applyFont="1" applyBorder="1" applyAlignment="1">
      <alignment horizontal="center" vertical="top"/>
    </xf>
    <xf numFmtId="4" fontId="0" fillId="10" borderId="0" xfId="0" applyNumberFormat="1" applyFont="1" applyFill="1" applyAlignment="1">
      <alignment horizontal="center" vertical="center"/>
    </xf>
    <xf numFmtId="49" fontId="0" fillId="0" borderId="33" xfId="0" applyNumberFormat="1" applyFont="1" applyBorder="1" applyAlignment="1">
      <alignment horizontal="center" vertical="center"/>
    </xf>
    <xf numFmtId="49" fontId="2" fillId="18" borderId="16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>
      <alignment vertical="top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/>
    </xf>
    <xf numFmtId="49" fontId="2" fillId="6" borderId="1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3" borderId="1" xfId="0" applyNumberFormat="1" applyFont="1" applyFill="1" applyBorder="1" applyAlignment="1" applyProtection="1">
      <alignment vertical="center" wrapText="1"/>
      <protection locked="0"/>
    </xf>
    <xf numFmtId="1" fontId="2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0" fillId="0" borderId="29" xfId="0" applyNumberFormat="1" applyFont="1" applyBorder="1" applyAlignment="1">
      <alignment horizontal="center" wrapText="1"/>
    </xf>
    <xf numFmtId="49" fontId="0" fillId="0" borderId="29" xfId="0" applyNumberFormat="1" applyFont="1" applyBorder="1" applyAlignment="1">
      <alignment horizontal="center" vertical="top" wrapText="1"/>
    </xf>
    <xf numFmtId="49" fontId="0" fillId="0" borderId="34" xfId="0" applyNumberFormat="1" applyFont="1" applyBorder="1" applyAlignment="1">
      <alignment horizontal="center" vertical="center"/>
    </xf>
    <xf numFmtId="49" fontId="0" fillId="0" borderId="33" xfId="0" applyNumberFormat="1" applyFont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right" vertical="center" wrapText="1"/>
    </xf>
    <xf numFmtId="49" fontId="2" fillId="6" borderId="37" xfId="0" applyNumberFormat="1" applyFont="1" applyFill="1" applyBorder="1" applyAlignment="1">
      <alignment horizontal="center" vertical="center" wrapText="1"/>
    </xf>
    <xf numFmtId="49" fontId="12" fillId="9" borderId="13" xfId="0" applyNumberFormat="1" applyFont="1" applyFill="1" applyBorder="1" applyAlignment="1">
      <alignment horizontal="center" vertical="center"/>
    </xf>
    <xf numFmtId="49" fontId="12" fillId="9" borderId="7" xfId="0" applyNumberFormat="1" applyFont="1" applyFill="1" applyBorder="1" applyAlignment="1">
      <alignment horizontal="left" vertical="center"/>
    </xf>
    <xf numFmtId="49" fontId="12" fillId="9" borderId="7" xfId="0" applyNumberFormat="1" applyFont="1" applyFill="1" applyBorder="1" applyAlignment="1">
      <alignment horizontal="left" vertical="center" wrapText="1"/>
    </xf>
    <xf numFmtId="49" fontId="12" fillId="9" borderId="14" xfId="0" applyNumberFormat="1" applyFont="1" applyFill="1" applyBorder="1" applyAlignment="1">
      <alignment horizontal="left" vertical="center" wrapText="1"/>
    </xf>
    <xf numFmtId="49" fontId="0" fillId="0" borderId="38" xfId="0" applyNumberFormat="1" applyFont="1" applyBorder="1" applyAlignment="1">
      <alignment horizontal="center" vertical="center"/>
    </xf>
    <xf numFmtId="49" fontId="12" fillId="9" borderId="40" xfId="0" applyNumberFormat="1" applyFont="1" applyFill="1" applyBorder="1" applyAlignment="1">
      <alignment horizontal="left" vertical="center"/>
    </xf>
    <xf numFmtId="171" fontId="2" fillId="6" borderId="37" xfId="0" applyNumberFormat="1" applyFont="1" applyFill="1" applyBorder="1" applyAlignment="1">
      <alignment horizontal="right" vertical="center" wrapText="1"/>
    </xf>
    <xf numFmtId="1" fontId="2" fillId="6" borderId="37" xfId="0" applyNumberFormat="1" applyFont="1" applyFill="1" applyBorder="1" applyAlignment="1">
      <alignment horizontal="center" vertical="center" wrapText="1"/>
    </xf>
    <xf numFmtId="169" fontId="2" fillId="6" borderId="37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0" fillId="0" borderId="26" xfId="0" applyNumberFormat="1" applyFont="1" applyBorder="1" applyAlignment="1">
      <alignment horizontal="center" vertical="top" wrapText="1"/>
    </xf>
    <xf numFmtId="49" fontId="0" fillId="0" borderId="16" xfId="0" applyNumberFormat="1" applyFont="1" applyBorder="1">
      <alignment vertical="top"/>
    </xf>
    <xf numFmtId="49" fontId="0" fillId="0" borderId="16" xfId="0" applyNumberFormat="1" applyFont="1" applyBorder="1" applyAlignment="1">
      <alignment horizontal="center" vertical="top" wrapText="1"/>
    </xf>
    <xf numFmtId="49" fontId="0" fillId="0" borderId="0" xfId="0" applyNumberFormat="1" applyFont="1" applyAlignment="1">
      <alignment horizontal="right" vertical="center" wrapText="1"/>
    </xf>
    <xf numFmtId="49" fontId="0" fillId="0" borderId="37" xfId="0" applyNumberFormat="1" applyFont="1" applyBorder="1" applyAlignment="1">
      <alignment horizontal="center" vertical="top" wrapText="1"/>
    </xf>
    <xf numFmtId="2" fontId="2" fillId="6" borderId="1" xfId="0" applyNumberFormat="1" applyFont="1" applyFill="1" applyBorder="1" applyAlignment="1">
      <alignment horizontal="right" vertical="center" wrapText="1"/>
    </xf>
    <xf numFmtId="1" fontId="7" fillId="6" borderId="37" xfId="0" applyNumberFormat="1" applyFont="1" applyFill="1" applyBorder="1" applyAlignment="1">
      <alignment horizontal="center" vertical="center" wrapText="1"/>
    </xf>
    <xf numFmtId="49" fontId="2" fillId="9" borderId="7" xfId="0" applyNumberFormat="1" applyFont="1" applyFill="1" applyBorder="1" applyAlignment="1">
      <alignment horizontal="left" vertical="center" wrapText="1"/>
    </xf>
    <xf numFmtId="4" fontId="2" fillId="10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49" fontId="0" fillId="0" borderId="0" xfId="0" applyNumberFormat="1" applyFont="1">
      <alignment vertical="top"/>
    </xf>
    <xf numFmtId="49" fontId="2" fillId="7" borderId="14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vertical="center" wrapText="1"/>
    </xf>
    <xf numFmtId="49" fontId="0" fillId="0" borderId="14" xfId="0" applyNumberFormat="1" applyFont="1" applyBorder="1" applyAlignment="1">
      <alignment horizontal="center" vertical="top"/>
    </xf>
    <xf numFmtId="49" fontId="2" fillId="3" borderId="16" xfId="0" applyNumberFormat="1" applyFont="1" applyFill="1" applyBorder="1" applyAlignment="1" applyProtection="1">
      <alignment vertical="center" wrapText="1"/>
      <protection locked="0"/>
    </xf>
    <xf numFmtId="49" fontId="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49" fontId="0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vertical="center" wrapText="1"/>
    </xf>
    <xf numFmtId="0" fontId="2" fillId="0" borderId="0" xfId="0" applyNumberFormat="1" applyFont="1">
      <alignment vertical="top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vertical="center" wrapText="1"/>
    </xf>
    <xf numFmtId="49" fontId="20" fillId="2" borderId="1" xfId="0" applyNumberFormat="1" applyFont="1" applyFill="1" applyBorder="1" applyAlignment="1">
      <alignment vertical="center" wrapText="1"/>
    </xf>
    <xf numFmtId="49" fontId="8" fillId="0" borderId="0" xfId="0" applyNumberFormat="1" applyFont="1">
      <alignment vertical="top"/>
    </xf>
    <xf numFmtId="0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>
      <alignment vertical="top"/>
    </xf>
    <xf numFmtId="49" fontId="10" fillId="6" borderId="17" xfId="0" applyNumberFormat="1" applyFont="1" applyFill="1" applyBorder="1" applyAlignment="1">
      <alignment vertical="center" wrapText="1"/>
    </xf>
    <xf numFmtId="49" fontId="25" fillId="14" borderId="1" xfId="0" applyNumberFormat="1" applyFont="1" applyFill="1" applyBorder="1" applyAlignment="1">
      <alignment horizontal="center" vertical="center"/>
    </xf>
    <xf numFmtId="49" fontId="10" fillId="15" borderId="16" xfId="0" applyNumberFormat="1" applyFont="1" applyFill="1" applyBorder="1" applyAlignment="1">
      <alignment horizontal="left" vertical="center" wrapText="1"/>
    </xf>
    <xf numFmtId="49" fontId="10" fillId="15" borderId="16" xfId="0" applyNumberFormat="1" applyFont="1" applyFill="1" applyBorder="1" applyAlignment="1">
      <alignment horizontal="left" wrapText="1"/>
    </xf>
    <xf numFmtId="49" fontId="25" fillId="16" borderId="0" xfId="0" applyNumberFormat="1" applyFont="1" applyFill="1" applyAlignment="1">
      <alignment horizontal="center" vertical="top" wrapText="1"/>
    </xf>
    <xf numFmtId="49" fontId="10" fillId="15" borderId="16" xfId="0" applyNumberFormat="1" applyFont="1" applyFill="1" applyBorder="1" applyAlignment="1">
      <alignment horizontal="center" vertical="center" wrapText="1"/>
    </xf>
    <xf numFmtId="49" fontId="26" fillId="15" borderId="0" xfId="0" applyNumberFormat="1" applyFont="1" applyFill="1" applyAlignment="1">
      <alignment horizontal="center" vertical="center" wrapText="1"/>
    </xf>
    <xf numFmtId="49" fontId="27" fillId="4" borderId="16" xfId="0" applyNumberFormat="1" applyFont="1" applyFill="1" applyBorder="1" applyAlignment="1" applyProtection="1">
      <alignment horizontal="right" vertical="center" wrapText="1"/>
      <protection locked="0"/>
    </xf>
    <xf numFmtId="49" fontId="0" fillId="4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9" fontId="2" fillId="17" borderId="0" xfId="0" applyNumberFormat="1" applyFont="1" applyFill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49" fontId="2" fillId="17" borderId="0" xfId="0" applyNumberFormat="1" applyFont="1" applyFill="1" applyAlignment="1">
      <alignment horizontal="right" wrapText="1"/>
    </xf>
    <xf numFmtId="49" fontId="2" fillId="0" borderId="16" xfId="0" applyNumberFormat="1" applyFont="1" applyBorder="1" applyAlignment="1">
      <alignment vertical="top" wrapText="1"/>
    </xf>
    <xf numFmtId="49" fontId="27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28" fillId="16" borderId="23" xfId="0" applyNumberFormat="1" applyFont="1" applyFill="1" applyBorder="1" applyAlignment="1">
      <alignment horizontal="center" vertical="top" wrapText="1"/>
    </xf>
    <xf numFmtId="49" fontId="28" fillId="16" borderId="16" xfId="0" applyNumberFormat="1" applyFont="1" applyFill="1" applyBorder="1" applyAlignment="1">
      <alignment horizontal="center" vertical="top" wrapText="1"/>
    </xf>
    <xf numFmtId="49" fontId="25" fillId="16" borderId="0" xfId="0" applyNumberFormat="1" applyFont="1" applyFill="1" applyAlignment="1">
      <alignment horizontal="left" wrapText="1"/>
    </xf>
    <xf numFmtId="49" fontId="0" fillId="0" borderId="1" xfId="0" applyNumberFormat="1" applyFont="1" applyBorder="1" applyAlignment="1">
      <alignment horizontal="center" vertical="top" wrapText="1"/>
    </xf>
    <xf numFmtId="49" fontId="2" fillId="7" borderId="0" xfId="0" applyNumberFormat="1" applyFont="1" applyFill="1" applyAlignment="1">
      <alignment horizontal="right" vertical="center" wrapText="1"/>
    </xf>
    <xf numFmtId="164" fontId="2" fillId="7" borderId="0" xfId="0" applyNumberFormat="1" applyFont="1" applyFill="1" applyAlignment="1">
      <alignment vertical="center" wrapText="1"/>
    </xf>
    <xf numFmtId="0" fontId="2" fillId="0" borderId="16" xfId="0" applyNumberFormat="1" applyFont="1" applyBorder="1">
      <alignment vertical="top"/>
    </xf>
    <xf numFmtId="49" fontId="2" fillId="7" borderId="0" xfId="0" applyNumberFormat="1" applyFont="1" applyFill="1" applyAlignment="1">
      <alignment horizontal="right" vertical="center" wrapText="1" inden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7" fillId="7" borderId="0" xfId="0" applyNumberFormat="1" applyFont="1" applyFill="1" applyAlignment="1">
      <alignment horizontal="right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49" fontId="2" fillId="7" borderId="0" xfId="0" applyNumberFormat="1" applyFont="1" applyFill="1" applyAlignment="1">
      <alignment vertical="center" wrapText="1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0" borderId="26" xfId="0" applyNumberFormat="1" applyFont="1" applyBorder="1" applyAlignment="1">
      <alignment horizontal="center" vertical="top" wrapText="1"/>
    </xf>
    <xf numFmtId="49" fontId="0" fillId="0" borderId="16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ont="1" applyFill="1" applyBorder="1">
      <alignment vertical="top"/>
    </xf>
    <xf numFmtId="49" fontId="2" fillId="6" borderId="1" xfId="0" applyNumberFormat="1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7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>
      <alignment vertical="top"/>
    </xf>
    <xf numFmtId="49" fontId="0" fillId="8" borderId="8" xfId="0" applyNumberFormat="1" applyFont="1" applyFill="1" applyBorder="1" applyAlignment="1">
      <alignment horizontal="center" vertical="center" wrapText="1"/>
    </xf>
    <xf numFmtId="49" fontId="2" fillId="8" borderId="8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0" fillId="0" borderId="11" xfId="0" applyNumberFormat="1" applyFont="1" applyBorder="1" applyAlignment="1">
      <alignment vertical="center" wrapText="1"/>
    </xf>
    <xf numFmtId="49" fontId="11" fillId="0" borderId="12" xfId="0" applyNumberFormat="1" applyFont="1" applyBorder="1" applyAlignment="1">
      <alignment horizontal="righ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7" borderId="8" xfId="0" applyNumberFormat="1" applyFont="1" applyFill="1" applyBorder="1" applyAlignment="1">
      <alignment horizontal="left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0" fillId="0" borderId="0" xfId="0" applyNumberFormat="1" applyFont="1">
      <alignment vertical="top"/>
    </xf>
    <xf numFmtId="49" fontId="2" fillId="3" borderId="1" xfId="1" applyNumberFormat="1" applyFont="1" applyFill="1" applyBorder="1" applyProtection="1">
      <alignment horizontal="left" vertical="center" wrapText="1"/>
      <protection locked="0"/>
    </xf>
    <xf numFmtId="49" fontId="2" fillId="3" borderId="1" xfId="2" applyNumberFormat="1" applyFont="1" applyFill="1" applyBorder="1" applyProtection="1">
      <alignment horizontal="center" vertical="center" wrapText="1"/>
      <protection locked="0"/>
    </xf>
    <xf numFmtId="49" fontId="0" fillId="4" borderId="1" xfId="3" applyNumberFormat="1" applyFont="1" applyFill="1" applyBorder="1" applyProtection="1">
      <alignment horizontal="center" vertical="center" wrapText="1"/>
      <protection locked="0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12" fillId="9" borderId="13" xfId="0" applyNumberFormat="1" applyFont="1" applyFill="1" applyBorder="1" applyAlignment="1">
      <alignment horizontal="left" vertical="center" wrapText="1"/>
    </xf>
    <xf numFmtId="49" fontId="12" fillId="9" borderId="7" xfId="0" applyNumberFormat="1" applyFont="1" applyFill="1" applyBorder="1" applyAlignment="1">
      <alignment horizontal="left" vertical="center" wrapText="1"/>
    </xf>
    <xf numFmtId="49" fontId="12" fillId="9" borderId="14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Border="1" applyAlignment="1">
      <alignment vertical="center" wrapText="1"/>
    </xf>
    <xf numFmtId="1" fontId="2" fillId="0" borderId="7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165" fontId="2" fillId="0" borderId="18" xfId="0" applyNumberFormat="1" applyFont="1" applyBorder="1" applyAlignment="1">
      <alignment horizontal="right" vertical="center" wrapText="1"/>
    </xf>
    <xf numFmtId="165" fontId="2" fillId="6" borderId="1" xfId="0" applyNumberFormat="1" applyFont="1" applyFill="1" applyBorder="1" applyAlignment="1">
      <alignment horizontal="right" vertical="center" wrapText="1"/>
    </xf>
    <xf numFmtId="165" fontId="2" fillId="0" borderId="16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2" fontId="2" fillId="0" borderId="16" xfId="0" applyNumberFormat="1" applyFont="1" applyBorder="1" applyAlignment="1">
      <alignment horizontal="right" vertical="center" wrapText="1"/>
    </xf>
    <xf numFmtId="2" fontId="2" fillId="7" borderId="16" xfId="0" applyNumberFormat="1" applyFont="1" applyFill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9" fontId="13" fillId="7" borderId="0" xfId="0" applyNumberFormat="1" applyFont="1" applyFill="1" applyAlignment="1">
      <alignment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14" fillId="7" borderId="0" xfId="0" applyNumberFormat="1" applyFont="1" applyFill="1" applyAlignment="1">
      <alignment vertical="center" wrapText="1"/>
    </xf>
    <xf numFmtId="1" fontId="2" fillId="7" borderId="0" xfId="0" applyNumberFormat="1" applyFont="1" applyFill="1" applyAlignment="1">
      <alignment horizontal="center" vertical="center" wrapText="1"/>
    </xf>
    <xf numFmtId="1" fontId="2" fillId="0" borderId="19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166" fontId="2" fillId="0" borderId="16" xfId="0" applyNumberFormat="1" applyFont="1" applyBorder="1" applyAlignment="1">
      <alignment horizontal="right" vertical="center" wrapText="1"/>
    </xf>
    <xf numFmtId="49" fontId="10" fillId="7" borderId="0" xfId="0" applyNumberFormat="1" applyFont="1" applyFill="1" applyAlignment="1">
      <alignment horizontal="right" vertical="center" wrapText="1"/>
    </xf>
    <xf numFmtId="167" fontId="10" fillId="7" borderId="0" xfId="0" applyNumberFormat="1" applyFont="1" applyFill="1" applyAlignment="1">
      <alignment horizontal="center" vertical="center" wrapText="1"/>
    </xf>
    <xf numFmtId="165" fontId="2" fillId="7" borderId="0" xfId="0" applyNumberFormat="1" applyFont="1" applyFill="1" applyAlignment="1">
      <alignment horizontal="center" vertical="center" wrapText="1"/>
    </xf>
    <xf numFmtId="168" fontId="2" fillId="0" borderId="16" xfId="0" applyNumberFormat="1" applyFont="1" applyBorder="1" applyAlignment="1">
      <alignment horizontal="right" vertical="center" wrapText="1"/>
    </xf>
    <xf numFmtId="167" fontId="2" fillId="0" borderId="16" xfId="0" applyNumberFormat="1" applyFont="1" applyBorder="1" applyAlignment="1">
      <alignment horizontal="right" vertical="center" wrapText="1"/>
    </xf>
    <xf numFmtId="49" fontId="10" fillId="7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/>
    </xf>
    <xf numFmtId="49" fontId="2" fillId="10" borderId="16" xfId="0" applyNumberFormat="1" applyFont="1" applyFill="1" applyBorder="1" applyAlignment="1">
      <alignment horizontal="center" vertical="center" wrapText="1"/>
    </xf>
    <xf numFmtId="166" fontId="2" fillId="6" borderId="1" xfId="0" applyNumberFormat="1" applyFont="1" applyFill="1" applyBorder="1" applyAlignment="1">
      <alignment horizontal="right" vertical="center" wrapText="1"/>
    </xf>
    <xf numFmtId="49" fontId="10" fillId="7" borderId="0" xfId="0" applyNumberFormat="1" applyFont="1" applyFill="1" applyAlignment="1">
      <alignment horizontal="left" vertical="center" wrapText="1"/>
    </xf>
    <xf numFmtId="49" fontId="0" fillId="0" borderId="27" xfId="0" applyNumberFormat="1" applyFont="1" applyBorder="1" applyAlignment="1">
      <alignment horizontal="center" vertical="top" wrapText="1"/>
    </xf>
    <xf numFmtId="49" fontId="0" fillId="0" borderId="16" xfId="0" applyNumberFormat="1" applyFont="1" applyBorder="1">
      <alignment vertical="top"/>
    </xf>
    <xf numFmtId="49" fontId="0" fillId="0" borderId="0" xfId="0" applyNumberFormat="1" applyFont="1" applyAlignment="1">
      <alignment horizontal="right" vertical="center" wrapText="1"/>
    </xf>
    <xf numFmtId="3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4" borderId="1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15" fillId="0" borderId="7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7" borderId="0" xfId="0" applyNumberFormat="1" applyFont="1" applyFill="1" applyAlignment="1">
      <alignment horizontal="center" vertical="center" wrapText="1"/>
    </xf>
    <xf numFmtId="49" fontId="0" fillId="0" borderId="0" xfId="0" applyNumberFormat="1" applyFont="1">
      <alignment vertical="top"/>
    </xf>
    <xf numFmtId="49" fontId="2" fillId="4" borderId="1" xfId="4" applyNumberFormat="1" applyFont="1" applyFill="1" applyBorder="1" applyProtection="1">
      <alignment horizontal="center" vertical="center" wrapText="1"/>
      <protection locked="0"/>
    </xf>
    <xf numFmtId="49" fontId="2" fillId="4" borderId="1" xfId="5" applyNumberFormat="1" applyFont="1" applyFill="1" applyBorder="1" applyProtection="1">
      <alignment horizontal="left" vertical="center" wrapText="1"/>
      <protection locked="0"/>
    </xf>
    <xf numFmtId="1" fontId="2" fillId="4" borderId="1" xfId="6" applyNumberFormat="1" applyFont="1" applyFill="1" applyBorder="1" applyProtection="1">
      <alignment horizontal="right" vertical="center" wrapText="1"/>
      <protection locked="0"/>
    </xf>
    <xf numFmtId="169" fontId="2" fillId="3" borderId="1" xfId="7" applyNumberFormat="1" applyFont="1" applyFill="1" applyBorder="1" applyProtection="1">
      <alignment horizontal="right" vertical="center" wrapText="1"/>
      <protection locked="0"/>
    </xf>
    <xf numFmtId="3" fontId="2" fillId="3" borderId="1" xfId="8" applyNumberFormat="1" applyFont="1" applyFill="1" applyBorder="1" applyProtection="1">
      <alignment horizontal="right" vertical="center" wrapText="1"/>
      <protection locked="0"/>
    </xf>
    <xf numFmtId="49" fontId="2" fillId="4" borderId="1" xfId="9" applyNumberFormat="1" applyFont="1" applyFill="1" applyBorder="1" applyProtection="1">
      <alignment horizontal="right" vertical="center" wrapText="1"/>
      <protection locked="0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17" fillId="11" borderId="20" xfId="0" applyNumberFormat="1" applyFont="1" applyFill="1" applyBorder="1" applyAlignment="1">
      <alignment horizontal="right" vertical="center" wrapText="1"/>
    </xf>
    <xf numFmtId="49" fontId="12" fillId="11" borderId="21" xfId="0" applyNumberFormat="1" applyFont="1" applyFill="1" applyBorder="1" applyAlignment="1">
      <alignment horizontal="left" vertical="center" wrapText="1"/>
    </xf>
    <xf numFmtId="49" fontId="2" fillId="11" borderId="21" xfId="0" applyNumberFormat="1" applyFont="1" applyFill="1" applyBorder="1" applyAlignment="1">
      <alignment horizontal="right" vertical="center" wrapText="1"/>
    </xf>
    <xf numFmtId="49" fontId="2" fillId="11" borderId="22" xfId="0" applyNumberFormat="1" applyFont="1" applyFill="1" applyBorder="1" applyAlignment="1">
      <alignment horizontal="right" vertical="center" wrapText="1"/>
    </xf>
    <xf numFmtId="49" fontId="2" fillId="11" borderId="13" xfId="0" applyNumberFormat="1" applyFont="1" applyFill="1" applyBorder="1" applyAlignment="1">
      <alignment horizontal="right" vertical="center" wrapText="1"/>
    </xf>
    <xf numFmtId="49" fontId="2" fillId="1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right" vertical="center" wrapText="1"/>
    </xf>
    <xf numFmtId="49" fontId="2" fillId="7" borderId="15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NumberFormat="1" applyFont="1">
      <alignment vertical="top"/>
    </xf>
    <xf numFmtId="0" fontId="29" fillId="0" borderId="0" xfId="0" applyNumberFormat="1" applyFont="1" applyAlignment="1">
      <alignment horizontal="left" vertical="center"/>
    </xf>
    <xf numFmtId="49" fontId="0" fillId="0" borderId="29" xfId="0" applyNumberFormat="1" applyFont="1" applyBorder="1" applyAlignment="1">
      <alignment horizontal="center" wrapText="1"/>
    </xf>
    <xf numFmtId="1" fontId="0" fillId="0" borderId="16" xfId="0" applyNumberFormat="1" applyFont="1" applyBorder="1" applyAlignment="1">
      <alignment horizontal="center" vertical="top"/>
    </xf>
    <xf numFmtId="1" fontId="0" fillId="0" borderId="30" xfId="0" applyNumberFormat="1" applyFont="1" applyBorder="1" applyAlignment="1">
      <alignment horizontal="center" vertical="top"/>
    </xf>
    <xf numFmtId="49" fontId="0" fillId="0" borderId="16" xfId="0" applyNumberFormat="1" applyFont="1" applyBorder="1" applyAlignment="1">
      <alignment horizontal="center" vertical="center"/>
    </xf>
    <xf numFmtId="49" fontId="0" fillId="0" borderId="30" xfId="0" applyNumberFormat="1" applyFont="1" applyBorder="1" applyAlignment="1">
      <alignment vertical="top" wrapText="1"/>
    </xf>
    <xf numFmtId="4" fontId="0" fillId="10" borderId="29" xfId="0" applyNumberFormat="1" applyFont="1" applyFill="1" applyBorder="1" applyAlignment="1">
      <alignment horizontal="center" vertical="center"/>
    </xf>
    <xf numFmtId="49" fontId="0" fillId="0" borderId="31" xfId="0" applyNumberFormat="1" applyFont="1" applyBorder="1" applyAlignment="1">
      <alignment horizontal="center" vertical="top"/>
    </xf>
    <xf numFmtId="49" fontId="0" fillId="0" borderId="17" xfId="0" applyNumberFormat="1" applyFont="1" applyBorder="1" applyAlignment="1">
      <alignment horizontal="center" vertical="top"/>
    </xf>
    <xf numFmtId="49" fontId="0" fillId="0" borderId="31" xfId="0" applyNumberFormat="1" applyFont="1" applyBorder="1" applyAlignment="1">
      <alignment horizontal="center" vertical="center"/>
    </xf>
    <xf numFmtId="4" fontId="0" fillId="10" borderId="0" xfId="0" applyNumberFormat="1" applyFont="1" applyFill="1" applyAlignment="1">
      <alignment horizontal="center" vertical="center"/>
    </xf>
    <xf numFmtId="4" fontId="2" fillId="10" borderId="0" xfId="0" applyNumberFormat="1" applyFont="1" applyFill="1" applyAlignment="1">
      <alignment horizontal="center" vertical="center"/>
    </xf>
    <xf numFmtId="49" fontId="2" fillId="3" borderId="37" xfId="0" applyNumberFormat="1" applyFont="1" applyFill="1" applyBorder="1" applyAlignment="1">
      <alignment horizontal="left" vertical="center" wrapText="1"/>
    </xf>
    <xf numFmtId="170" fontId="2" fillId="3" borderId="37" xfId="0" applyNumberFormat="1" applyFont="1" applyFill="1" applyBorder="1" applyAlignment="1">
      <alignment horizontal="right" vertical="center" wrapText="1"/>
    </xf>
    <xf numFmtId="169" fontId="2" fillId="4" borderId="37" xfId="0" applyNumberFormat="1" applyFont="1" applyFill="1" applyBorder="1" applyAlignment="1">
      <alignment horizontal="right" vertical="center" wrapText="1"/>
    </xf>
    <xf numFmtId="49" fontId="2" fillId="4" borderId="37" xfId="0" applyNumberFormat="1" applyFont="1" applyFill="1" applyBorder="1" applyAlignment="1">
      <alignment horizontal="right" vertical="center" wrapText="1"/>
    </xf>
    <xf numFmtId="0" fontId="2" fillId="4" borderId="37" xfId="0" applyNumberFormat="1" applyFont="1" applyFill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right" vertical="center" wrapText="1"/>
    </xf>
    <xf numFmtId="0" fontId="2" fillId="6" borderId="37" xfId="0" applyNumberFormat="1" applyFont="1" applyFill="1" applyBorder="1" applyAlignment="1">
      <alignment horizontal="center" vertical="center" wrapText="1"/>
    </xf>
    <xf numFmtId="170" fontId="2" fillId="4" borderId="37" xfId="0" applyNumberFormat="1" applyFont="1" applyFill="1" applyBorder="1" applyAlignment="1">
      <alignment horizontal="right" vertical="center" wrapText="1"/>
    </xf>
    <xf numFmtId="3" fontId="2" fillId="4" borderId="37" xfId="0" applyNumberFormat="1" applyFont="1" applyFill="1" applyBorder="1" applyAlignment="1">
      <alignment horizontal="right" vertical="center" wrapText="1"/>
    </xf>
    <xf numFmtId="49" fontId="2" fillId="6" borderId="37" xfId="0" applyNumberFormat="1" applyFont="1" applyFill="1" applyBorder="1" applyAlignment="1">
      <alignment horizontal="center" vertical="center" wrapText="1"/>
    </xf>
    <xf numFmtId="49" fontId="12" fillId="9" borderId="39" xfId="0" applyNumberFormat="1" applyFont="1" applyFill="1" applyBorder="1" applyAlignment="1">
      <alignment horizontal="center" vertical="center"/>
    </xf>
    <xf numFmtId="49" fontId="12" fillId="9" borderId="40" xfId="0" applyNumberFormat="1" applyFont="1" applyFill="1" applyBorder="1" applyAlignment="1">
      <alignment horizontal="left" vertical="center"/>
    </xf>
    <xf numFmtId="49" fontId="12" fillId="9" borderId="40" xfId="0" applyNumberFormat="1" applyFont="1" applyFill="1" applyBorder="1" applyAlignment="1">
      <alignment horizontal="left" vertical="center" wrapText="1"/>
    </xf>
    <xf numFmtId="49" fontId="2" fillId="9" borderId="40" xfId="0" applyNumberFormat="1" applyFont="1" applyFill="1" applyBorder="1" applyAlignment="1">
      <alignment horizontal="left" vertical="center" wrapText="1"/>
    </xf>
    <xf numFmtId="49" fontId="12" fillId="9" borderId="41" xfId="0" applyNumberFormat="1" applyFont="1" applyFill="1" applyBorder="1" applyAlignment="1">
      <alignment horizontal="left" vertical="center" wrapText="1"/>
    </xf>
    <xf numFmtId="49" fontId="0" fillId="0" borderId="33" xfId="0" applyNumberFormat="1" applyFont="1" applyBorder="1" applyAlignment="1">
      <alignment horizontal="center" vertical="center" wrapText="1"/>
    </xf>
    <xf numFmtId="4" fontId="0" fillId="10" borderId="33" xfId="0" applyNumberFormat="1" applyFont="1" applyFill="1" applyBorder="1" applyAlignment="1">
      <alignment horizontal="center" vertical="center"/>
    </xf>
    <xf numFmtId="4" fontId="0" fillId="10" borderId="35" xfId="0" applyNumberFormat="1" applyFont="1" applyFill="1" applyBorder="1" applyAlignment="1">
      <alignment horizontal="center" vertical="center"/>
    </xf>
    <xf numFmtId="4" fontId="2" fillId="10" borderId="35" xfId="0" applyNumberFormat="1" applyFont="1" applyFill="1" applyBorder="1" applyAlignment="1">
      <alignment horizontal="center" vertical="center"/>
    </xf>
    <xf numFmtId="4" fontId="0" fillId="10" borderId="36" xfId="0" applyNumberFormat="1" applyFont="1" applyFill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49" fontId="2" fillId="3" borderId="37" xfId="0" applyNumberFormat="1" applyFont="1" applyFill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" fontId="0" fillId="10" borderId="31" xfId="0" applyNumberFormat="1" applyFont="1" applyFill="1" applyBorder="1" applyAlignment="1">
      <alignment horizontal="center" vertical="center"/>
    </xf>
    <xf numFmtId="4" fontId="0" fillId="10" borderId="32" xfId="0" applyNumberFormat="1" applyFont="1" applyFill="1" applyBorder="1" applyAlignment="1">
      <alignment horizontal="center" vertical="center"/>
    </xf>
    <xf numFmtId="4" fontId="2" fillId="10" borderId="32" xfId="0" applyNumberFormat="1" applyFont="1" applyFill="1" applyBorder="1" applyAlignment="1">
      <alignment horizontal="center" vertical="center"/>
    </xf>
    <xf numFmtId="4" fontId="0" fillId="10" borderId="30" xfId="0" applyNumberFormat="1" applyFont="1" applyFill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/>
    </xf>
    <xf numFmtId="170" fontId="2" fillId="3" borderId="1" xfId="0" applyNumberFormat="1" applyFont="1" applyFill="1" applyBorder="1" applyAlignment="1">
      <alignment horizontal="right" vertical="center" wrapText="1"/>
    </xf>
    <xf numFmtId="169" fontId="2" fillId="4" borderId="1" xfId="0" applyNumberFormat="1" applyFont="1" applyFill="1" applyBorder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right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170" fontId="2" fillId="4" borderId="1" xfId="0" applyNumberFormat="1" applyFont="1" applyFill="1" applyBorder="1" applyAlignment="1">
      <alignment horizontal="right" vertical="center" wrapText="1"/>
    </xf>
    <xf numFmtId="49" fontId="12" fillId="9" borderId="13" xfId="0" applyNumberFormat="1" applyFont="1" applyFill="1" applyBorder="1" applyAlignment="1">
      <alignment horizontal="center" vertical="center"/>
    </xf>
    <xf numFmtId="49" fontId="12" fillId="9" borderId="7" xfId="0" applyNumberFormat="1" applyFont="1" applyFill="1" applyBorder="1" applyAlignment="1">
      <alignment horizontal="left" vertical="center"/>
    </xf>
    <xf numFmtId="49" fontId="12" fillId="9" borderId="7" xfId="0" applyNumberFormat="1" applyFont="1" applyFill="1" applyBorder="1" applyAlignment="1">
      <alignment horizontal="left" vertical="center" wrapText="1"/>
    </xf>
    <xf numFmtId="49" fontId="2" fillId="9" borderId="7" xfId="0" applyNumberFormat="1" applyFont="1" applyFill="1" applyBorder="1" applyAlignment="1">
      <alignment horizontal="left" vertical="center" wrapText="1"/>
    </xf>
    <xf numFmtId="49" fontId="12" fillId="9" borderId="14" xfId="0" applyNumberFormat="1" applyFont="1" applyFill="1" applyBorder="1" applyAlignment="1">
      <alignment horizontal="left" vertical="center" wrapText="1"/>
    </xf>
    <xf numFmtId="0" fontId="29" fillId="0" borderId="28" xfId="0" applyNumberFormat="1" applyFont="1" applyBorder="1" applyAlignment="1">
      <alignment horizontal="left" vertical="center"/>
    </xf>
    <xf numFmtId="49" fontId="0" fillId="0" borderId="28" xfId="0" applyNumberFormat="1" applyFont="1" applyBorder="1">
      <alignment vertical="top"/>
    </xf>
    <xf numFmtId="49" fontId="0" fillId="0" borderId="29" xfId="0" applyNumberFormat="1" applyFont="1" applyBorder="1" applyAlignment="1">
      <alignment horizontal="center" vertical="top"/>
    </xf>
    <xf numFmtId="49" fontId="0" fillId="0" borderId="29" xfId="0" applyNumberFormat="1" applyFont="1" applyBorder="1" applyAlignment="1">
      <alignment vertical="top" wrapText="1"/>
    </xf>
    <xf numFmtId="171" fontId="2" fillId="6" borderId="37" xfId="0" applyNumberFormat="1" applyFont="1" applyFill="1" applyBorder="1" applyAlignment="1">
      <alignment horizontal="right" vertical="center" wrapText="1"/>
    </xf>
    <xf numFmtId="171" fontId="2" fillId="4" borderId="37" xfId="0" applyNumberFormat="1" applyFont="1" applyFill="1" applyBorder="1" applyAlignment="1">
      <alignment horizontal="center" vertical="center" wrapText="1"/>
    </xf>
    <xf numFmtId="1" fontId="2" fillId="6" borderId="37" xfId="0" applyNumberFormat="1" applyFont="1" applyFill="1" applyBorder="1" applyAlignment="1">
      <alignment horizontal="center" vertical="center" wrapText="1"/>
    </xf>
    <xf numFmtId="1" fontId="7" fillId="6" borderId="37" xfId="0" applyNumberFormat="1" applyFont="1" applyFill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left" vertical="center" wrapText="1"/>
    </xf>
    <xf numFmtId="169" fontId="2" fillId="6" borderId="37" xfId="0" applyNumberFormat="1" applyFont="1" applyFill="1" applyBorder="1" applyAlignment="1">
      <alignment horizontal="right" vertical="center" wrapText="1"/>
    </xf>
    <xf numFmtId="169" fontId="2" fillId="4" borderId="37" xfId="0" applyNumberFormat="1" applyFont="1" applyFill="1" applyBorder="1" applyAlignment="1">
      <alignment horizontal="center" vertical="center" wrapText="1"/>
    </xf>
    <xf numFmtId="4" fontId="2" fillId="4" borderId="37" xfId="0" applyNumberFormat="1" applyFont="1" applyFill="1" applyBorder="1" applyAlignment="1">
      <alignment horizontal="right" vertical="center" wrapText="1"/>
    </xf>
    <xf numFmtId="49" fontId="0" fillId="0" borderId="18" xfId="0" applyNumberFormat="1" applyFont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top" wrapText="1"/>
    </xf>
    <xf numFmtId="3" fontId="2" fillId="3" borderId="1" xfId="0" applyNumberFormat="1" applyFont="1" applyFill="1" applyBorder="1" applyAlignment="1">
      <alignment horizontal="right" vertical="center" wrapText="1"/>
    </xf>
    <xf numFmtId="49" fontId="8" fillId="0" borderId="16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49" fontId="2" fillId="18" borderId="16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166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" fillId="4" borderId="1" xfId="0" applyNumberFormat="1" applyFont="1" applyFill="1" applyBorder="1" applyAlignment="1">
      <alignment horizontal="right" vertical="center" wrapText="1"/>
    </xf>
    <xf numFmtId="165" fontId="0" fillId="4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1" fontId="2" fillId="6" borderId="1" xfId="0" applyNumberFormat="1" applyFont="1" applyFill="1" applyBorder="1" applyAlignment="1">
      <alignment horizontal="right" vertical="center" wrapText="1"/>
    </xf>
    <xf numFmtId="9" fontId="2" fillId="6" borderId="1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Alignment="1">
      <alignment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168" fontId="2" fillId="6" borderId="1" xfId="0" applyNumberFormat="1" applyFont="1" applyFill="1" applyBorder="1" applyAlignment="1">
      <alignment horizontal="right" vertical="center" wrapText="1"/>
    </xf>
    <xf numFmtId="10" fontId="2" fillId="4" borderId="1" xfId="0" applyNumberFormat="1" applyFont="1" applyFill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0" fontId="2" fillId="6" borderId="1" xfId="0" applyNumberFormat="1" applyFont="1" applyFill="1" applyBorder="1" applyAlignment="1">
      <alignment horizontal="right" vertical="center" wrapText="1"/>
    </xf>
    <xf numFmtId="49" fontId="2" fillId="12" borderId="16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2" fillId="0" borderId="16" xfId="0" applyNumberFormat="1" applyFont="1" applyBorder="1" applyAlignment="1">
      <alignment horizontal="right" vertical="center" wrapText="1"/>
    </xf>
    <xf numFmtId="49" fontId="19" fillId="7" borderId="0" xfId="0" applyNumberFormat="1" applyFont="1" applyFill="1" applyAlignment="1">
      <alignment horizontal="left" vertical="center" wrapText="1"/>
    </xf>
    <xf numFmtId="0" fontId="2" fillId="0" borderId="0" xfId="0" applyNumberFormat="1" applyFont="1" applyAlignment="1">
      <alignment vertical="center"/>
    </xf>
    <xf numFmtId="49" fontId="2" fillId="7" borderId="0" xfId="0" applyNumberFormat="1" applyFont="1" applyFill="1" applyAlignment="1">
      <alignment vertical="top" wrapText="1"/>
    </xf>
    <xf numFmtId="49" fontId="2" fillId="0" borderId="25" xfId="0" applyNumberFormat="1" applyFont="1" applyBorder="1" applyAlignment="1">
      <alignment vertical="top" wrapText="1"/>
    </xf>
    <xf numFmtId="49" fontId="22" fillId="0" borderId="12" xfId="0" applyNumberFormat="1" applyFont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3" fillId="13" borderId="26" xfId="0" applyNumberFormat="1" applyFont="1" applyFill="1" applyBorder="1" applyAlignment="1">
      <alignment horizontal="left" vertical="center" wrapText="1"/>
    </xf>
    <xf numFmtId="49" fontId="23" fillId="13" borderId="27" xfId="0" applyNumberFormat="1" applyFont="1" applyFill="1" applyBorder="1" applyAlignment="1">
      <alignment horizontal="left" vertical="center" wrapText="1"/>
    </xf>
    <xf numFmtId="49" fontId="2" fillId="4" borderId="1" xfId="9" applyNumberFormat="1" applyFont="1" applyFill="1" applyBorder="1" applyAlignment="1" applyProtection="1">
      <alignment horizontal="left" vertical="center" wrapText="1"/>
      <protection locked="0"/>
    </xf>
    <xf numFmtId="172" fontId="2" fillId="6" borderId="1" xfId="0" applyNumberFormat="1" applyFont="1" applyFill="1" applyBorder="1" applyAlignment="1">
      <alignment horizontal="right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 wrapText="1"/>
    </xf>
    <xf numFmtId="49" fontId="0" fillId="0" borderId="0" xfId="0" applyNumberFormat="1" applyFont="1">
      <alignment vertical="top"/>
    </xf>
    <xf numFmtId="49" fontId="30" fillId="0" borderId="0" xfId="0" applyNumberFormat="1" applyFont="1" applyAlignment="1">
      <alignment vertical="center" wrapText="1"/>
    </xf>
    <xf numFmtId="49" fontId="20" fillId="19" borderId="43" xfId="0" applyNumberFormat="1" applyFont="1" applyFill="1" applyBorder="1" applyAlignment="1">
      <alignment horizontal="center" vertical="center" wrapText="1"/>
    </xf>
    <xf numFmtId="49" fontId="20" fillId="19" borderId="44" xfId="0" applyNumberFormat="1" applyFont="1" applyFill="1" applyBorder="1" applyAlignment="1">
      <alignment horizontal="center" vertical="center" wrapText="1"/>
    </xf>
    <xf numFmtId="49" fontId="20" fillId="19" borderId="45" xfId="0" applyNumberFormat="1" applyFont="1" applyFill="1" applyBorder="1" applyAlignment="1">
      <alignment horizontal="center" vertical="center" wrapText="1"/>
    </xf>
    <xf numFmtId="49" fontId="20" fillId="20" borderId="2" xfId="0" applyNumberFormat="1" applyFont="1" applyFill="1" applyBorder="1" applyAlignment="1">
      <alignment horizontal="right" vertical="center" wrapText="1"/>
    </xf>
    <xf numFmtId="49" fontId="20" fillId="20" borderId="12" xfId="0" applyNumberFormat="1" applyFont="1" applyFill="1" applyBorder="1" applyAlignment="1">
      <alignment horizontal="right" vertical="center" wrapText="1"/>
    </xf>
    <xf numFmtId="49" fontId="20" fillId="20" borderId="0" xfId="0" applyNumberFormat="1" applyFont="1" applyFill="1" applyAlignment="1">
      <alignment horizontal="right"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20" fillId="20" borderId="3" xfId="0" applyNumberFormat="1" applyFont="1" applyFill="1" applyBorder="1" applyAlignment="1">
      <alignment horizontal="right" vertical="center" wrapText="1"/>
    </xf>
    <xf numFmtId="49" fontId="20" fillId="20" borderId="46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Alignment="1">
      <alignment vertical="center" wrapText="1"/>
    </xf>
    <xf numFmtId="49" fontId="20" fillId="20" borderId="5" xfId="0" applyNumberFormat="1" applyFont="1" applyFill="1" applyBorder="1" applyAlignment="1">
      <alignment horizontal="right" vertical="center" wrapText="1"/>
    </xf>
    <xf numFmtId="49" fontId="20" fillId="20" borderId="6" xfId="0" applyNumberFormat="1" applyFont="1" applyFill="1" applyBorder="1" applyAlignment="1">
      <alignment horizontal="right" vertical="center" wrapText="1"/>
    </xf>
    <xf numFmtId="49" fontId="10" fillId="0" borderId="28" xfId="0" applyNumberFormat="1" applyFont="1" applyBorder="1" applyAlignment="1">
      <alignment horizontal="left" vertical="center" wrapText="1"/>
    </xf>
    <xf numFmtId="49" fontId="28" fillId="21" borderId="47" xfId="0" applyNumberFormat="1" applyFont="1" applyFill="1" applyBorder="1" applyAlignment="1" applyProtection="1">
      <alignment horizontal="center" vertical="center" wrapText="1"/>
      <protection locked="0"/>
    </xf>
    <xf numFmtId="49" fontId="28" fillId="21" borderId="0" xfId="0" applyNumberFormat="1" applyFont="1" applyFill="1" applyAlignment="1" applyProtection="1">
      <alignment horizontal="center" vertical="center" wrapText="1"/>
      <protection locked="0"/>
    </xf>
    <xf numFmtId="49" fontId="0" fillId="0" borderId="37" xfId="0" applyNumberFormat="1" applyFont="1" applyBorder="1" applyAlignment="1">
      <alignment horizontal="center" vertical="top" wrapText="1"/>
    </xf>
    <xf numFmtId="49" fontId="0" fillId="0" borderId="48" xfId="0" applyNumberFormat="1" applyFont="1" applyBorder="1" applyAlignment="1">
      <alignment horizontal="center" vertical="top" wrapText="1"/>
    </xf>
    <xf numFmtId="49" fontId="0" fillId="0" borderId="49" xfId="0" applyNumberFormat="1" applyFont="1" applyBorder="1" applyAlignment="1">
      <alignment horizontal="center" vertical="top" wrapText="1"/>
    </xf>
    <xf numFmtId="49" fontId="0" fillId="0" borderId="1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left" vertical="center" wrapText="1"/>
    </xf>
    <xf numFmtId="164" fontId="2" fillId="7" borderId="19" xfId="0" applyNumberFormat="1" applyFont="1" applyFill="1" applyBorder="1" applyAlignment="1">
      <alignment horizontal="right" vertical="center" wrapText="1"/>
    </xf>
    <xf numFmtId="164" fontId="2" fillId="7" borderId="0" xfId="0" applyNumberFormat="1" applyFont="1" applyFill="1" applyAlignment="1">
      <alignment horizontal="right" vertical="center" wrapText="1"/>
    </xf>
    <xf numFmtId="49" fontId="0" fillId="0" borderId="16" xfId="0" applyNumberFormat="1" applyFont="1" applyBorder="1" applyAlignment="1">
      <alignment horizontal="center" vertical="center" wrapText="1"/>
    </xf>
    <xf numFmtId="49" fontId="2" fillId="7" borderId="0" xfId="0" applyNumberFormat="1" applyFont="1" applyFill="1" applyAlignment="1">
      <alignment horizontal="center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0" fontId="29" fillId="0" borderId="24" xfId="0" applyNumberFormat="1" applyFont="1" applyBorder="1" applyAlignment="1">
      <alignment horizontal="left" vertical="center" wrapText="1"/>
    </xf>
    <xf numFmtId="0" fontId="0" fillId="0" borderId="24" xfId="0" applyNumberFormat="1" applyFont="1" applyBorder="1" applyAlignment="1">
      <alignment horizontal="left" vertical="center" wrapText="1"/>
    </xf>
    <xf numFmtId="49" fontId="2" fillId="7" borderId="1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right" vertical="center" wrapText="1"/>
    </xf>
    <xf numFmtId="49" fontId="2" fillId="0" borderId="17" xfId="0" applyNumberFormat="1" applyFont="1" applyBorder="1" applyAlignment="1">
      <alignment horizontal="right" vertical="center" wrapText="1"/>
    </xf>
    <xf numFmtId="49" fontId="29" fillId="0" borderId="15" xfId="0" applyNumberFormat="1" applyFont="1" applyBorder="1" applyAlignment="1">
      <alignment horizontal="left" vertical="center" wrapText="1"/>
    </xf>
    <xf numFmtId="49" fontId="0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14" fillId="7" borderId="0" xfId="0" applyNumberFormat="1" applyFont="1" applyFill="1" applyAlignment="1">
      <alignment horizontal="center" vertical="center" wrapText="1"/>
    </xf>
    <xf numFmtId="49" fontId="0" fillId="0" borderId="16" xfId="0" applyNumberFormat="1" applyFont="1" applyBorder="1" applyAlignment="1">
      <alignment horizontal="center" vertical="top"/>
    </xf>
    <xf numFmtId="0" fontId="2" fillId="7" borderId="15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Alignment="1">
      <alignment horizontal="left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10" borderId="15" xfId="0" applyNumberFormat="1" applyFont="1" applyFill="1" applyBorder="1" applyAlignment="1">
      <alignment horizontal="center" vertical="center" wrapText="1"/>
    </xf>
    <xf numFmtId="49" fontId="2" fillId="10" borderId="5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10" borderId="23" xfId="0" applyNumberFormat="1" applyFont="1" applyFill="1" applyBorder="1" applyAlignment="1">
      <alignment horizontal="center" vertical="center" wrapText="1"/>
    </xf>
    <xf numFmtId="49" fontId="2" fillId="10" borderId="52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2" fillId="10" borderId="7" xfId="0" applyNumberFormat="1" applyFont="1" applyFill="1" applyBorder="1" applyAlignment="1">
      <alignment horizontal="center" vertical="center" wrapText="1"/>
    </xf>
    <xf numFmtId="49" fontId="2" fillId="10" borderId="14" xfId="0" applyNumberFormat="1" applyFont="1" applyFill="1" applyBorder="1" applyAlignment="1">
      <alignment horizontal="center" vertical="center" wrapText="1"/>
    </xf>
    <xf numFmtId="49" fontId="2" fillId="10" borderId="18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center" vertical="center" wrapText="1"/>
    </xf>
    <xf numFmtId="49" fontId="2" fillId="10" borderId="13" xfId="0" applyNumberFormat="1" applyFont="1" applyFill="1" applyBorder="1" applyAlignment="1">
      <alignment horizontal="center" vertical="center" wrapText="1"/>
    </xf>
    <xf numFmtId="0" fontId="29" fillId="0" borderId="14" xfId="0" applyNumberFormat="1" applyFont="1" applyBorder="1" applyAlignment="1">
      <alignment horizontal="center" vertical="center" wrapText="1"/>
    </xf>
    <xf numFmtId="0" fontId="29" fillId="0" borderId="16" xfId="0" applyNumberFormat="1" applyFont="1" applyBorder="1" applyAlignment="1">
      <alignment horizontal="center" vertical="center" wrapText="1"/>
    </xf>
    <xf numFmtId="0" fontId="29" fillId="0" borderId="13" xfId="0" applyNumberFormat="1" applyFont="1" applyBorder="1" applyAlignment="1">
      <alignment horizontal="center" vertical="center" wrapText="1"/>
    </xf>
    <xf numFmtId="49" fontId="0" fillId="0" borderId="30" xfId="0" applyNumberFormat="1" applyFont="1" applyBorder="1" applyAlignment="1">
      <alignment horizontal="center" vertical="center"/>
    </xf>
    <xf numFmtId="49" fontId="0" fillId="0" borderId="17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49" fontId="0" fillId="0" borderId="34" xfId="0" applyNumberFormat="1" applyFont="1" applyBorder="1" applyAlignment="1">
      <alignment horizontal="center" vertical="center"/>
    </xf>
    <xf numFmtId="49" fontId="0" fillId="0" borderId="33" xfId="0" applyNumberFormat="1" applyFont="1" applyBorder="1" applyAlignment="1">
      <alignment horizontal="center" vertical="center"/>
    </xf>
    <xf numFmtId="49" fontId="29" fillId="0" borderId="52" xfId="0" applyNumberFormat="1" applyFont="1" applyBorder="1" applyAlignment="1">
      <alignment horizontal="center" vertical="top" wrapText="1"/>
    </xf>
    <xf numFmtId="49" fontId="29" fillId="0" borderId="19" xfId="0" applyNumberFormat="1" applyFont="1" applyBorder="1" applyAlignment="1">
      <alignment horizontal="center" vertical="top" wrapText="1"/>
    </xf>
    <xf numFmtId="49" fontId="29" fillId="0" borderId="33" xfId="0" applyNumberFormat="1" applyFont="1" applyBorder="1" applyAlignment="1">
      <alignment horizontal="center" vertical="top" wrapText="1"/>
    </xf>
    <xf numFmtId="49" fontId="29" fillId="0" borderId="35" xfId="0" applyNumberFormat="1" applyFont="1" applyBorder="1" applyAlignment="1">
      <alignment horizontal="center" vertical="top" wrapText="1"/>
    </xf>
    <xf numFmtId="49" fontId="29" fillId="0" borderId="36" xfId="0" applyNumberFormat="1" applyFont="1" applyBorder="1" applyAlignment="1">
      <alignment horizontal="center" vertical="top" wrapText="1"/>
    </xf>
    <xf numFmtId="49" fontId="29" fillId="0" borderId="31" xfId="0" applyNumberFormat="1" applyFont="1" applyBorder="1" applyAlignment="1">
      <alignment horizontal="center" vertical="top" wrapText="1"/>
    </xf>
    <xf numFmtId="49" fontId="29" fillId="0" borderId="32" xfId="0" applyNumberFormat="1" applyFont="1" applyBorder="1" applyAlignment="1">
      <alignment horizontal="center" vertical="top" wrapText="1"/>
    </xf>
    <xf numFmtId="49" fontId="29" fillId="0" borderId="30" xfId="0" applyNumberFormat="1" applyFont="1" applyBorder="1" applyAlignment="1">
      <alignment horizontal="center" vertical="top" wrapText="1"/>
    </xf>
    <xf numFmtId="49" fontId="0" fillId="0" borderId="29" xfId="0" applyNumberFormat="1" applyFont="1" applyBorder="1" applyAlignment="1">
      <alignment horizontal="center" vertical="top" wrapText="1"/>
    </xf>
    <xf numFmtId="49" fontId="29" fillId="0" borderId="14" xfId="0" applyNumberFormat="1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 wrapText="1"/>
    </xf>
    <xf numFmtId="49" fontId="0" fillId="0" borderId="16" xfId="0" applyNumberFormat="1" applyFont="1" applyBorder="1" applyAlignment="1">
      <alignment horizontal="center" vertical="center"/>
    </xf>
    <xf numFmtId="49" fontId="29" fillId="0" borderId="53" xfId="0" applyNumberFormat="1" applyFont="1" applyBorder="1" applyAlignment="1">
      <alignment horizontal="center" vertical="top" wrapText="1"/>
    </xf>
    <xf numFmtId="49" fontId="29" fillId="0" borderId="54" xfId="0" applyNumberFormat="1" applyFont="1" applyBorder="1" applyAlignment="1">
      <alignment horizontal="center" vertical="top" wrapText="1"/>
    </xf>
    <xf numFmtId="49" fontId="29" fillId="0" borderId="55" xfId="0" applyNumberFormat="1" applyFont="1" applyBorder="1" applyAlignment="1">
      <alignment horizontal="center" vertical="top" wrapText="1"/>
    </xf>
    <xf numFmtId="49" fontId="29" fillId="0" borderId="6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/>
    </xf>
    <xf numFmtId="49" fontId="2" fillId="1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right" vertical="center" wrapText="1"/>
    </xf>
    <xf numFmtId="49" fontId="10" fillId="0" borderId="56" xfId="0" applyNumberFormat="1" applyFont="1" applyBorder="1" applyAlignment="1">
      <alignment horizontal="right" vertical="center" wrapText="1"/>
    </xf>
    <xf numFmtId="49" fontId="2" fillId="0" borderId="16" xfId="0" applyNumberFormat="1" applyFont="1" applyBorder="1" applyAlignment="1">
      <alignment vertical="center" wrapText="1"/>
    </xf>
    <xf numFmtId="49" fontId="0" fillId="0" borderId="0" xfId="0" applyNumberFormat="1" applyFont="1" applyAlignment="1">
      <alignment horizontal="left" vertical="center" wrapText="1"/>
    </xf>
    <xf numFmtId="49" fontId="15" fillId="0" borderId="7" xfId="0" applyNumberFormat="1" applyFont="1" applyBorder="1" applyAlignment="1">
      <alignment horizontal="left" vertical="center" wrapText="1"/>
    </xf>
    <xf numFmtId="49" fontId="2" fillId="12" borderId="13" xfId="0" applyNumberFormat="1" applyFont="1" applyFill="1" applyBorder="1" applyAlignment="1">
      <alignment horizontal="center" vertical="center" wrapText="1"/>
    </xf>
    <xf numFmtId="49" fontId="2" fillId="12" borderId="7" xfId="0" applyNumberFormat="1" applyFont="1" applyFill="1" applyBorder="1" applyAlignment="1">
      <alignment horizontal="center" vertical="center" wrapText="1"/>
    </xf>
    <xf numFmtId="49" fontId="2" fillId="12" borderId="14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left" vertical="center"/>
    </xf>
  </cellXfs>
  <cellStyles count="12">
    <cellStyle name="s1" xfId="1"/>
    <cellStyle name="s10" xfId="10"/>
    <cellStyle name="s11" xfId="11"/>
    <cellStyle name="s2" xfId="2"/>
    <cellStyle name="s3" xfId="3"/>
    <cellStyle name="s4" xfId="4"/>
    <cellStyle name="s5" xfId="5"/>
    <cellStyle name="s6" xfId="6"/>
    <cellStyle name="s7" xfId="7"/>
    <cellStyle name="s8" xfId="8"/>
    <cellStyle name="s9" xfId="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B4"/>
  <sheetViews>
    <sheetView showGridLines="0" showRowColHeaders="0" workbookViewId="0"/>
  </sheetViews>
  <sheetFormatPr defaultColWidth="10.5703125" defaultRowHeight="12.75" customHeight="1" x14ac:dyDescent="0.15"/>
  <cols>
    <col min="2" max="2" width="161.5703125" style="166" customWidth="1"/>
  </cols>
  <sheetData>
    <row r="2" spans="2:2" ht="51.75" customHeight="1" x14ac:dyDescent="0.15">
      <c r="B2" s="164" t="s">
        <v>0</v>
      </c>
    </row>
    <row r="4" spans="2:2" ht="68.25" customHeight="1" x14ac:dyDescent="0.15">
      <c r="B4" s="165" t="s">
        <v>1</v>
      </c>
    </row>
  </sheetData>
  <sheetProtection formatColumns="0" formatRows="0"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J48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6" style="166" customWidth="1"/>
    <col min="29" max="29" width="96" style="166" customWidth="1"/>
    <col min="30" max="30" width="0.85546875" style="166" customWidth="1"/>
    <col min="31" max="31" width="12.5703125" style="166" customWidth="1"/>
    <col min="32" max="32" width="11.5703125" style="166" customWidth="1"/>
    <col min="33" max="33" width="10" style="166" customWidth="1"/>
    <col min="34" max="35" width="8.5703125" style="166" customWidth="1"/>
    <col min="36" max="36" width="1.7109375" style="166" hidden="1" customWidth="1"/>
  </cols>
  <sheetData>
    <row r="1" spans="4:36" ht="22.5" hidden="1" customHeight="1" x14ac:dyDescent="0.15"/>
    <row r="2" spans="4:36" ht="12.75" hidden="1" customHeight="1" x14ac:dyDescent="0.15"/>
    <row r="3" spans="4:36" ht="11.25" hidden="1" customHeight="1" x14ac:dyDescent="0.15"/>
    <row r="4" spans="4:36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42</v>
      </c>
      <c r="AC4" s="130">
        <v>672</v>
      </c>
      <c r="AD4" s="130">
        <v>6</v>
      </c>
      <c r="AE4" s="130">
        <v>88</v>
      </c>
      <c r="AF4" s="130">
        <v>81</v>
      </c>
      <c r="AG4" s="130">
        <v>70</v>
      </c>
      <c r="AH4" s="130">
        <v>60</v>
      </c>
      <c r="AI4" s="130">
        <v>60</v>
      </c>
      <c r="AJ4" s="130">
        <v>0</v>
      </c>
    </row>
    <row r="5" spans="4:36" ht="26.25" hidden="1" customHeight="1" x14ac:dyDescent="0.15">
      <c r="D5" s="130">
        <v>35</v>
      </c>
    </row>
    <row r="6" spans="4:36" ht="26.25" hidden="1" customHeight="1" x14ac:dyDescent="0.15">
      <c r="D6" s="130">
        <v>35</v>
      </c>
    </row>
    <row r="7" spans="4:36" ht="26.25" hidden="1" customHeight="1" x14ac:dyDescent="0.15">
      <c r="D7" s="130">
        <v>35</v>
      </c>
    </row>
    <row r="8" spans="4:36" ht="26.25" hidden="1" customHeight="1" x14ac:dyDescent="0.15">
      <c r="D8" s="130">
        <v>35</v>
      </c>
    </row>
    <row r="9" spans="4:36" ht="26.25" hidden="1" customHeight="1" x14ac:dyDescent="0.15">
      <c r="D9" s="130">
        <v>35</v>
      </c>
    </row>
    <row r="10" spans="4:36" ht="26.25" hidden="1" customHeight="1" x14ac:dyDescent="0.15">
      <c r="D10" s="130">
        <v>35</v>
      </c>
    </row>
    <row r="11" spans="4:36" ht="26.25" hidden="1" customHeight="1" x14ac:dyDescent="0.15">
      <c r="D11" s="130">
        <v>35</v>
      </c>
    </row>
    <row r="12" spans="4:36" ht="26.25" hidden="1" customHeight="1" x14ac:dyDescent="0.15">
      <c r="D12" s="130">
        <v>35</v>
      </c>
    </row>
    <row r="13" spans="4:36" ht="26.25" hidden="1" customHeight="1" x14ac:dyDescent="0.15">
      <c r="D13" s="130">
        <v>35</v>
      </c>
    </row>
    <row r="14" spans="4:36" ht="26.25" hidden="1" customHeight="1" x14ac:dyDescent="0.15">
      <c r="D14" s="130">
        <v>35</v>
      </c>
    </row>
    <row r="15" spans="4:36" ht="26.25" hidden="1" customHeight="1" x14ac:dyDescent="0.15">
      <c r="D15" s="130">
        <v>35</v>
      </c>
    </row>
    <row r="16" spans="4:36" ht="26.25" hidden="1" customHeight="1" x14ac:dyDescent="0.15">
      <c r="D16" s="130">
        <v>35</v>
      </c>
    </row>
    <row r="17" spans="4:35" ht="26.25" hidden="1" customHeight="1" x14ac:dyDescent="0.15">
      <c r="D17" s="130">
        <v>35</v>
      </c>
    </row>
    <row r="18" spans="4:35" ht="26.25" hidden="1" customHeight="1" x14ac:dyDescent="0.15">
      <c r="D18" s="130">
        <v>35</v>
      </c>
    </row>
    <row r="19" spans="4:35" ht="26.25" hidden="1" customHeight="1" x14ac:dyDescent="0.15">
      <c r="D19" s="130">
        <v>35</v>
      </c>
    </row>
    <row r="20" spans="4:35" ht="15" customHeight="1" x14ac:dyDescent="0.15">
      <c r="D20" s="130">
        <v>20</v>
      </c>
    </row>
    <row r="21" spans="4:35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  <c r="AE21" s="286"/>
      <c r="AF21" s="286"/>
      <c r="AG21" s="286"/>
      <c r="AI21" s="287"/>
    </row>
    <row r="22" spans="4:35" ht="21.75" customHeight="1" x14ac:dyDescent="0.15">
      <c r="D22" s="130">
        <v>29</v>
      </c>
      <c r="AB22" s="663" t="s">
        <v>759</v>
      </c>
      <c r="AC22" s="663"/>
      <c r="AD22" s="663"/>
      <c r="AE22" s="663"/>
      <c r="AF22" s="663"/>
      <c r="AG22" s="663"/>
      <c r="AH22" s="663"/>
      <c r="AI22" s="663"/>
    </row>
    <row r="23" spans="4:35" ht="6" customHeight="1" x14ac:dyDescent="0.15">
      <c r="D23" s="130">
        <v>8</v>
      </c>
      <c r="AB23" s="641"/>
      <c r="AC23" s="641"/>
      <c r="AF23" s="288"/>
      <c r="AG23" s="288"/>
      <c r="AH23" s="289"/>
      <c r="AI23" s="288"/>
    </row>
    <row r="24" spans="4:35" ht="15.75" customHeight="1" x14ac:dyDescent="0.15">
      <c r="D24" s="130">
        <v>21</v>
      </c>
      <c r="AB24" s="680" t="s">
        <v>687</v>
      </c>
      <c r="AC24" s="680" t="s">
        <v>715</v>
      </c>
      <c r="AE24" s="682" t="str">
        <f>IF(PRD="","Не определено",PRD)&amp;" год"</f>
        <v>2025 год</v>
      </c>
      <c r="AF24" s="683"/>
      <c r="AG24" s="683"/>
      <c r="AH24" s="683"/>
      <c r="AI24" s="684"/>
    </row>
    <row r="25" spans="4:35" ht="15.75" customHeight="1" x14ac:dyDescent="0.15">
      <c r="D25" s="130">
        <v>21</v>
      </c>
      <c r="AB25" s="680"/>
      <c r="AC25" s="680"/>
      <c r="AE25" s="674" t="s">
        <v>716</v>
      </c>
      <c r="AF25" s="674"/>
      <c r="AG25" s="674" t="s">
        <v>717</v>
      </c>
      <c r="AH25" s="674" t="s">
        <v>760</v>
      </c>
      <c r="AI25" s="674" t="s">
        <v>761</v>
      </c>
    </row>
    <row r="26" spans="4:35" ht="27" customHeight="1" x14ac:dyDescent="0.15">
      <c r="D26" s="130">
        <v>36</v>
      </c>
      <c r="AB26" s="680"/>
      <c r="AC26" s="680"/>
      <c r="AE26" s="31" t="s">
        <v>762</v>
      </c>
      <c r="AF26" s="31" t="s">
        <v>763</v>
      </c>
      <c r="AG26" s="680"/>
      <c r="AH26" s="680"/>
      <c r="AI26" s="680"/>
    </row>
    <row r="27" spans="4:35" ht="2.25" customHeight="1" x14ac:dyDescent="0.15">
      <c r="D27" s="130">
        <v>3</v>
      </c>
    </row>
    <row r="28" spans="4:35" ht="15.75" customHeight="1" x14ac:dyDescent="0.15">
      <c r="D28" s="130">
        <v>21</v>
      </c>
      <c r="AB28" s="34" t="s">
        <v>112</v>
      </c>
      <c r="AC28" s="35" t="s">
        <v>764</v>
      </c>
      <c r="AE28" s="38"/>
      <c r="AF28" s="38"/>
      <c r="AG28" s="39"/>
      <c r="AH28" s="31"/>
      <c r="AI28" s="37">
        <f>(AI30+AI31+AI34)/3</f>
        <v>0.5</v>
      </c>
    </row>
    <row r="29" spans="4:35" ht="15.75" customHeight="1" x14ac:dyDescent="0.15">
      <c r="D29" s="130">
        <v>21</v>
      </c>
      <c r="AB29" s="34"/>
      <c r="AC29" s="35" t="s">
        <v>723</v>
      </c>
      <c r="AE29" s="38"/>
      <c r="AF29" s="38"/>
      <c r="AG29" s="39"/>
      <c r="AH29" s="31"/>
      <c r="AI29" s="38"/>
    </row>
    <row r="30" spans="4:35" ht="27" customHeight="1" x14ac:dyDescent="0.15">
      <c r="D30" s="130">
        <v>36</v>
      </c>
      <c r="AB30" s="31" t="s">
        <v>724</v>
      </c>
      <c r="AC30" s="40" t="s">
        <v>765</v>
      </c>
      <c r="AE30" s="53"/>
      <c r="AF30" s="53"/>
      <c r="AG30" s="42">
        <f>IF(AF30&gt;0,AE30/AF30*100,IF(AE30=0,100,120))</f>
        <v>100</v>
      </c>
      <c r="AH30" s="31" t="s">
        <v>748</v>
      </c>
      <c r="AI30" s="290">
        <f>IF(AG30&gt;120,0.75,IF(AG30&gt;=80,0.5,0.25))</f>
        <v>0.5</v>
      </c>
    </row>
    <row r="31" spans="4:35" ht="27" customHeight="1" x14ac:dyDescent="0.15">
      <c r="D31" s="130">
        <v>36</v>
      </c>
      <c r="AB31" s="31" t="s">
        <v>727</v>
      </c>
      <c r="AC31" s="40" t="s">
        <v>766</v>
      </c>
      <c r="AE31" s="38"/>
      <c r="AF31" s="38"/>
      <c r="AG31" s="39"/>
      <c r="AH31" s="31" t="s">
        <v>748</v>
      </c>
      <c r="AI31" s="37">
        <f>AVERAGE(AI32:AI33)</f>
        <v>0.5</v>
      </c>
    </row>
    <row r="32" spans="4:35" ht="27" customHeight="1" x14ac:dyDescent="0.15">
      <c r="D32" s="130">
        <v>36</v>
      </c>
      <c r="AB32" s="31" t="s">
        <v>730</v>
      </c>
      <c r="AC32" s="40" t="s">
        <v>767</v>
      </c>
      <c r="AE32" s="53"/>
      <c r="AF32" s="53"/>
      <c r="AG32" s="42">
        <f>IF(AF32&gt;0,AE32/AF32*100,IF(AE32=0,100,120))</f>
        <v>100</v>
      </c>
      <c r="AH32" s="31"/>
      <c r="AI32" s="54">
        <f>IF(AG32&gt;120,0.75,IF(AG32&gt;=80,0.5,0.25))</f>
        <v>0.5</v>
      </c>
    </row>
    <row r="33" spans="4:36" ht="15.75" customHeight="1" x14ac:dyDescent="0.15">
      <c r="D33" s="130">
        <v>21</v>
      </c>
      <c r="AB33" s="31" t="s">
        <v>732</v>
      </c>
      <c r="AC33" s="40" t="s">
        <v>768</v>
      </c>
      <c r="AE33" s="53"/>
      <c r="AF33" s="53"/>
      <c r="AG33" s="42">
        <f>IF(AF33&gt;0,AE33/AF33*100,IF(AE33=0,100,120))</f>
        <v>100</v>
      </c>
      <c r="AH33" s="31"/>
      <c r="AI33" s="54">
        <f>IF(AG33&lt;80,0.25,IF(AG33&gt;=80,IF(AG33&lt;=120,0.5,0.75)))</f>
        <v>0.5</v>
      </c>
    </row>
    <row r="34" spans="4:36" ht="37.5" customHeight="1" x14ac:dyDescent="0.15">
      <c r="D34" s="130">
        <v>50</v>
      </c>
      <c r="AB34" s="31" t="s">
        <v>769</v>
      </c>
      <c r="AC34" s="40" t="s">
        <v>770</v>
      </c>
      <c r="AE34" s="41"/>
      <c r="AF34" s="41"/>
      <c r="AG34" s="42">
        <f>IF(AF34&gt;0,AE34/AF34*100,IF(AE34=0,100,120))</f>
        <v>100</v>
      </c>
      <c r="AH34" s="31" t="s">
        <v>748</v>
      </c>
      <c r="AI34" s="54">
        <f>IF(AG34&gt;120,0.75,IF(AG34&gt;=80,0.5,0.25))</f>
        <v>0.5</v>
      </c>
    </row>
    <row r="35" spans="4:36" ht="27" customHeight="1" x14ac:dyDescent="0.15">
      <c r="D35" s="130">
        <v>36</v>
      </c>
      <c r="AB35" s="34" t="s">
        <v>692</v>
      </c>
      <c r="AC35" s="291" t="s">
        <v>771</v>
      </c>
      <c r="AE35" s="292"/>
      <c r="AF35" s="292"/>
      <c r="AG35" s="42">
        <f>AG36</f>
        <v>100</v>
      </c>
      <c r="AH35" s="31" t="s">
        <v>748</v>
      </c>
      <c r="AI35" s="54">
        <f>AI36</f>
        <v>0.5</v>
      </c>
    </row>
    <row r="36" spans="4:36" ht="27" customHeight="1" x14ac:dyDescent="0.15">
      <c r="D36" s="130">
        <v>36</v>
      </c>
      <c r="AB36" s="31" t="s">
        <v>739</v>
      </c>
      <c r="AC36" s="40" t="s">
        <v>772</v>
      </c>
      <c r="AE36" s="41"/>
      <c r="AF36" s="41"/>
      <c r="AG36" s="42">
        <f>IF(AF36&gt;0,AE36/AF36*100,IF(AE36=0,100,120))</f>
        <v>100</v>
      </c>
      <c r="AH36" s="31" t="s">
        <v>748</v>
      </c>
      <c r="AI36" s="54">
        <f>IF(AG36&gt;120,0.75,IF(AG36&gt;=80,0.5,0.25))</f>
        <v>0.5</v>
      </c>
    </row>
    <row r="37" spans="4:36" ht="15.75" customHeight="1" x14ac:dyDescent="0.15">
      <c r="D37" s="130">
        <v>21</v>
      </c>
      <c r="AB37" s="34" t="s">
        <v>143</v>
      </c>
      <c r="AC37" s="35" t="s">
        <v>773</v>
      </c>
      <c r="AE37" s="38"/>
      <c r="AF37" s="38"/>
      <c r="AG37" s="39"/>
      <c r="AH37" s="31"/>
      <c r="AI37" s="37">
        <f>(AI39+AI40)/2</f>
        <v>0.5</v>
      </c>
    </row>
    <row r="38" spans="4:36" ht="15.75" customHeight="1" x14ac:dyDescent="0.15">
      <c r="D38" s="130">
        <v>21</v>
      </c>
      <c r="AB38" s="34"/>
      <c r="AC38" s="35" t="s">
        <v>723</v>
      </c>
      <c r="AE38" s="38"/>
      <c r="AF38" s="38"/>
      <c r="AG38" s="39"/>
      <c r="AH38" s="31"/>
      <c r="AI38" s="45"/>
    </row>
    <row r="39" spans="4:36" ht="27" customHeight="1" x14ac:dyDescent="0.15">
      <c r="D39" s="130">
        <v>36</v>
      </c>
      <c r="AB39" s="31" t="s">
        <v>774</v>
      </c>
      <c r="AC39" s="40" t="s">
        <v>775</v>
      </c>
      <c r="AE39" s="44"/>
      <c r="AF39" s="44"/>
      <c r="AG39" s="42">
        <f>IF(AF39&gt;0,AE39/AF39*100,IF(AE39=0,100,120))</f>
        <v>100</v>
      </c>
      <c r="AH39" s="31" t="s">
        <v>726</v>
      </c>
      <c r="AI39" s="54">
        <f>IF(AG39&lt;80,0.75,IF(AG39&lt;=120,0.5,0.25))</f>
        <v>0.5</v>
      </c>
    </row>
    <row r="40" spans="4:36" ht="37.5" customHeight="1" x14ac:dyDescent="0.15">
      <c r="D40" s="130">
        <v>50</v>
      </c>
      <c r="AB40" s="31" t="s">
        <v>776</v>
      </c>
      <c r="AC40" s="40" t="s">
        <v>777</v>
      </c>
      <c r="AE40" s="41"/>
      <c r="AF40" s="41"/>
      <c r="AG40" s="42">
        <f>IF(AF40&gt;0,AE40/AF40*100,IF(AE40=0,100,120))</f>
        <v>100</v>
      </c>
      <c r="AH40" s="31" t="s">
        <v>748</v>
      </c>
      <c r="AI40" s="54">
        <f>IF(AG40&gt;120,0.75,IF(AG40&gt;=80,0.5,0.25))</f>
        <v>0.5</v>
      </c>
    </row>
    <row r="41" spans="4:36" ht="27" customHeight="1" x14ac:dyDescent="0.15">
      <c r="D41" s="130">
        <v>36</v>
      </c>
      <c r="AB41" s="34" t="s">
        <v>151</v>
      </c>
      <c r="AC41" s="35" t="s">
        <v>778</v>
      </c>
      <c r="AE41" s="292"/>
      <c r="AF41" s="292"/>
      <c r="AG41" s="42">
        <f>AG42</f>
        <v>100</v>
      </c>
      <c r="AH41" s="31" t="s">
        <v>748</v>
      </c>
      <c r="AI41" s="54">
        <f>AI42</f>
        <v>0.2</v>
      </c>
    </row>
    <row r="42" spans="4:36" ht="37.5" customHeight="1" x14ac:dyDescent="0.15">
      <c r="D42" s="130">
        <v>50</v>
      </c>
      <c r="AB42" s="31" t="s">
        <v>779</v>
      </c>
      <c r="AC42" s="40" t="s">
        <v>780</v>
      </c>
      <c r="AE42" s="41"/>
      <c r="AF42" s="41"/>
      <c r="AG42" s="42">
        <f>IF(AF42&gt;0,AE42/AF42*100,IF(AE42=0,100,120))</f>
        <v>100</v>
      </c>
      <c r="AH42" s="31" t="s">
        <v>748</v>
      </c>
      <c r="AI42" s="54">
        <f>IF(AG42&gt;120,0.3,IF(AG42&gt;=80,0.2,0.1))</f>
        <v>0.2</v>
      </c>
    </row>
    <row r="43" spans="4:36" ht="15.75" customHeight="1" x14ac:dyDescent="0.15">
      <c r="D43" s="130">
        <v>21</v>
      </c>
      <c r="AB43" s="34" t="s">
        <v>158</v>
      </c>
      <c r="AC43" s="35" t="s">
        <v>781</v>
      </c>
      <c r="AE43" s="38"/>
      <c r="AF43" s="38"/>
      <c r="AG43" s="39"/>
      <c r="AH43" s="31"/>
      <c r="AI43" s="37">
        <f>(AI28+AI35+AI37+AI41)/4</f>
        <v>0.42499999999999999</v>
      </c>
    </row>
    <row r="44" spans="4:36" ht="6" customHeight="1" x14ac:dyDescent="0.15">
      <c r="D44" s="130">
        <v>8</v>
      </c>
    </row>
    <row r="45" spans="4:36" ht="31.5" customHeight="1" x14ac:dyDescent="0.15">
      <c r="D45" s="130">
        <v>42</v>
      </c>
      <c r="AB45" s="47"/>
      <c r="AC45" s="18" t="str">
        <f>IF(LEN(ruk_dol)=0,"",ruk_dol)</f>
        <v>Генеральный директор</v>
      </c>
      <c r="AD45" s="671"/>
      <c r="AE45" s="671"/>
      <c r="AF45" s="671"/>
      <c r="AG45" s="672"/>
      <c r="AH45" s="672"/>
      <c r="AI45" s="672"/>
    </row>
    <row r="46" spans="4:36" ht="15.75" customHeight="1" x14ac:dyDescent="0.15">
      <c r="D46" s="130">
        <v>21</v>
      </c>
      <c r="AC46" s="49" t="s">
        <v>652</v>
      </c>
      <c r="AD46" s="641"/>
      <c r="AE46" s="641"/>
      <c r="AF46" s="641"/>
      <c r="AG46" s="673" t="s">
        <v>758</v>
      </c>
      <c r="AH46" s="641"/>
      <c r="AI46" s="641"/>
    </row>
    <row r="47" spans="4:36" ht="12" customHeight="1" x14ac:dyDescent="0.15">
      <c r="D47" s="130">
        <v>16</v>
      </c>
      <c r="AB47" s="18"/>
      <c r="AC47" s="18"/>
      <c r="AD47" s="18"/>
      <c r="AI47" s="293"/>
    </row>
    <row r="48" spans="4:36" ht="11.25" hidden="1" customHeight="1" x14ac:dyDescent="0.15">
      <c r="D48" s="130">
        <v>0</v>
      </c>
      <c r="AJ48" s="23" t="s">
        <v>71</v>
      </c>
    </row>
  </sheetData>
  <sheetProtection formatColumns="0" formatRows="0" insertRows="0" deleteColumns="0" deleteRows="0" sort="0" autoFilter="0"/>
  <mergeCells count="14">
    <mergeCell ref="AB21:AD21"/>
    <mergeCell ref="AB22:AI22"/>
    <mergeCell ref="AB23:AC23"/>
    <mergeCell ref="AB24:AB26"/>
    <mergeCell ref="AC24:AC26"/>
    <mergeCell ref="AE24:AI24"/>
    <mergeCell ref="AE25:AF25"/>
    <mergeCell ref="AD45:AF45"/>
    <mergeCell ref="AG45:AI45"/>
    <mergeCell ref="AD46:AF46"/>
    <mergeCell ref="AG46:AI46"/>
    <mergeCell ref="AG25:AG26"/>
    <mergeCell ref="AH25:AH26"/>
    <mergeCell ref="AI25:AI26"/>
  </mergeCells>
  <dataValidations count="2">
    <dataValidation type="decimal" allowBlank="1" showErrorMessage="1" errorTitle="Ошибка" error="Допускается ввод только неотрицательных чисел!" sqref="AF36 AE30:AF30 AE36 AE32:AE34 AF32:AF34 AE42 AE40 AF40 AF42">
      <formula1>0</formula1>
      <formula2>9.99999999999999E+23</formula2>
    </dataValidation>
    <dataValidation type="list" allowBlank="1" showInputMessage="1" showErrorMessage="1" sqref="AE39:AF39">
      <formula1>"0,1"</formula1>
    </dataValidation>
  </dataValidations>
  <pageMargins left="0.75" right="0.75" top="0.98" bottom="0.98" header="0.51" footer="0.51"/>
  <pageSetup paperSize="9" scale="36" orientation="landscape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K61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6" style="166" customWidth="1"/>
    <col min="29" max="29" width="95.5703125" style="166" customWidth="1"/>
    <col min="30" max="30" width="0.85546875" style="166" customWidth="1"/>
    <col min="31" max="32" width="13" style="166" customWidth="1"/>
    <col min="33" max="33" width="12.7109375" style="166" customWidth="1"/>
    <col min="34" max="34" width="12" style="166" customWidth="1"/>
    <col min="35" max="35" width="15" style="166" customWidth="1"/>
    <col min="36" max="36" width="1.140625" style="166" customWidth="1"/>
    <col min="37" max="37" width="9.140625" hidden="1"/>
  </cols>
  <sheetData>
    <row r="1" spans="4:37" ht="22.5" hidden="1" customHeight="1" x14ac:dyDescent="0.15"/>
    <row r="2" spans="4:37" ht="12.75" hidden="1" customHeight="1" x14ac:dyDescent="0.15"/>
    <row r="3" spans="4:37" ht="11.25" hidden="1" customHeight="1" x14ac:dyDescent="0.15"/>
    <row r="4" spans="4:37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42</v>
      </c>
      <c r="AC4" s="130">
        <v>669</v>
      </c>
      <c r="AD4" s="130">
        <v>6</v>
      </c>
      <c r="AE4" s="130">
        <v>91</v>
      </c>
      <c r="AF4" s="130">
        <v>91</v>
      </c>
      <c r="AG4" s="130">
        <v>89</v>
      </c>
      <c r="AH4" s="130">
        <v>84</v>
      </c>
      <c r="AI4" s="130">
        <v>105</v>
      </c>
      <c r="AJ4" s="130">
        <v>8</v>
      </c>
      <c r="AK4" s="131">
        <v>0</v>
      </c>
    </row>
    <row r="5" spans="4:37" ht="26.25" hidden="1" customHeight="1" x14ac:dyDescent="0.15">
      <c r="D5" s="130">
        <v>35</v>
      </c>
    </row>
    <row r="6" spans="4:37" ht="26.25" hidden="1" customHeight="1" x14ac:dyDescent="0.15">
      <c r="D6" s="130">
        <v>35</v>
      </c>
    </row>
    <row r="7" spans="4:37" ht="26.25" hidden="1" customHeight="1" x14ac:dyDescent="0.15">
      <c r="D7" s="130">
        <v>35</v>
      </c>
    </row>
    <row r="8" spans="4:37" ht="26.25" hidden="1" customHeight="1" x14ac:dyDescent="0.15">
      <c r="D8" s="130">
        <v>35</v>
      </c>
    </row>
    <row r="9" spans="4:37" ht="26.25" hidden="1" customHeight="1" x14ac:dyDescent="0.15">
      <c r="D9" s="130">
        <v>35</v>
      </c>
    </row>
    <row r="10" spans="4:37" ht="26.25" hidden="1" customHeight="1" x14ac:dyDescent="0.15">
      <c r="D10" s="130">
        <v>35</v>
      </c>
    </row>
    <row r="11" spans="4:37" ht="26.25" hidden="1" customHeight="1" x14ac:dyDescent="0.15">
      <c r="D11" s="130">
        <v>35</v>
      </c>
    </row>
    <row r="12" spans="4:37" ht="26.25" hidden="1" customHeight="1" x14ac:dyDescent="0.15">
      <c r="D12" s="130">
        <v>35</v>
      </c>
    </row>
    <row r="13" spans="4:37" ht="26.25" hidden="1" customHeight="1" x14ac:dyDescent="0.15">
      <c r="D13" s="130">
        <v>35</v>
      </c>
    </row>
    <row r="14" spans="4:37" ht="26.25" hidden="1" customHeight="1" x14ac:dyDescent="0.15">
      <c r="D14" s="130">
        <v>35</v>
      </c>
    </row>
    <row r="15" spans="4:37" ht="26.25" hidden="1" customHeight="1" x14ac:dyDescent="0.15">
      <c r="D15" s="130">
        <v>35</v>
      </c>
    </row>
    <row r="16" spans="4:37" ht="26.25" hidden="1" customHeight="1" x14ac:dyDescent="0.15">
      <c r="D16" s="130">
        <v>35</v>
      </c>
    </row>
    <row r="17" spans="4:36" ht="26.25" hidden="1" customHeight="1" x14ac:dyDescent="0.15">
      <c r="D17" s="130">
        <v>35</v>
      </c>
    </row>
    <row r="18" spans="4:36" ht="26.25" hidden="1" customHeight="1" x14ac:dyDescent="0.15">
      <c r="D18" s="130">
        <v>35</v>
      </c>
    </row>
    <row r="19" spans="4:36" ht="26.25" hidden="1" customHeight="1" x14ac:dyDescent="0.15">
      <c r="D19" s="130">
        <v>35</v>
      </c>
    </row>
    <row r="20" spans="4:36" ht="15" customHeight="1" x14ac:dyDescent="0.15">
      <c r="D20" s="130">
        <v>20</v>
      </c>
    </row>
    <row r="21" spans="4:36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  <c r="AJ21" s="294"/>
    </row>
    <row r="22" spans="4:36" ht="20.25" customHeight="1" x14ac:dyDescent="0.15">
      <c r="D22" s="130">
        <v>27</v>
      </c>
      <c r="AB22" s="663" t="s">
        <v>782</v>
      </c>
      <c r="AC22" s="663"/>
      <c r="AD22" s="663"/>
      <c r="AE22" s="663"/>
      <c r="AF22" s="663"/>
      <c r="AG22" s="663"/>
      <c r="AH22" s="663"/>
      <c r="AI22" s="663"/>
    </row>
    <row r="23" spans="4:36" ht="6" customHeight="1" x14ac:dyDescent="0.15">
      <c r="D23" s="130">
        <v>8</v>
      </c>
      <c r="AB23" s="641"/>
      <c r="AC23" s="641"/>
    </row>
    <row r="24" spans="4:36" ht="15.75" customHeight="1" x14ac:dyDescent="0.15">
      <c r="D24" s="130">
        <v>21</v>
      </c>
      <c r="AB24" s="680" t="s">
        <v>687</v>
      </c>
      <c r="AC24" s="680" t="s">
        <v>715</v>
      </c>
      <c r="AE24" s="680" t="str">
        <f>IF(PRD="","Не определено",PRD)&amp;" год"</f>
        <v>2025 год</v>
      </c>
      <c r="AF24" s="680"/>
      <c r="AG24" s="680"/>
      <c r="AH24" s="680"/>
      <c r="AI24" s="680"/>
    </row>
    <row r="25" spans="4:36" ht="15.75" customHeight="1" x14ac:dyDescent="0.15">
      <c r="D25" s="130">
        <v>21</v>
      </c>
      <c r="AB25" s="680"/>
      <c r="AC25" s="680"/>
      <c r="AE25" s="680" t="s">
        <v>716</v>
      </c>
      <c r="AF25" s="680"/>
      <c r="AG25" s="680" t="s">
        <v>717</v>
      </c>
      <c r="AH25" s="680" t="s">
        <v>718</v>
      </c>
      <c r="AI25" s="680" t="s">
        <v>719</v>
      </c>
    </row>
    <row r="26" spans="4:36" ht="27" customHeight="1" x14ac:dyDescent="0.15">
      <c r="D26" s="130">
        <v>36</v>
      </c>
      <c r="AB26" s="681"/>
      <c r="AC26" s="681"/>
      <c r="AE26" s="32" t="s">
        <v>762</v>
      </c>
      <c r="AF26" s="32" t="s">
        <v>763</v>
      </c>
      <c r="AG26" s="681"/>
      <c r="AH26" s="681"/>
      <c r="AI26" s="681"/>
    </row>
    <row r="27" spans="4:36" ht="2.25" customHeight="1" x14ac:dyDescent="0.15">
      <c r="D27" s="130">
        <v>3</v>
      </c>
      <c r="AB27" s="33"/>
      <c r="AC27" s="33"/>
      <c r="AE27" s="33"/>
      <c r="AF27" s="33"/>
      <c r="AG27" s="33"/>
      <c r="AH27" s="33"/>
      <c r="AI27" s="33"/>
      <c r="AJ27" s="21"/>
    </row>
    <row r="28" spans="4:36" ht="27" customHeight="1" x14ac:dyDescent="0.15">
      <c r="D28" s="130">
        <v>36</v>
      </c>
      <c r="AB28" s="34" t="s">
        <v>112</v>
      </c>
      <c r="AC28" s="35" t="s">
        <v>783</v>
      </c>
      <c r="AE28" s="44"/>
      <c r="AF28" s="44"/>
      <c r="AG28" s="42">
        <f>IF(AF28&gt;0,AE28/AF28*100,IF(AE28=0,100,120))</f>
        <v>100</v>
      </c>
      <c r="AH28" s="36" t="s">
        <v>726</v>
      </c>
      <c r="AI28" s="42">
        <f>IF(AG28&lt;80,3,IF(AG28&lt;=120,2,1))</f>
        <v>2</v>
      </c>
      <c r="AJ28" s="295"/>
    </row>
    <row r="29" spans="4:36" ht="15.75" customHeight="1" x14ac:dyDescent="0.15">
      <c r="D29" s="130">
        <v>21</v>
      </c>
      <c r="AB29" s="34" t="s">
        <v>692</v>
      </c>
      <c r="AC29" s="35" t="s">
        <v>784</v>
      </c>
      <c r="AE29" s="38"/>
      <c r="AF29" s="38"/>
      <c r="AG29" s="39"/>
      <c r="AH29" s="31"/>
      <c r="AI29" s="37">
        <f>(AI31+AI32+AI33+AI34+AI35+AI36)/6</f>
        <v>2</v>
      </c>
      <c r="AJ29" s="295"/>
    </row>
    <row r="30" spans="4:36" ht="15.75" customHeight="1" x14ac:dyDescent="0.15">
      <c r="D30" s="130">
        <v>21</v>
      </c>
      <c r="AB30" s="34"/>
      <c r="AC30" s="35" t="s">
        <v>723</v>
      </c>
      <c r="AE30" s="38"/>
      <c r="AF30" s="38"/>
      <c r="AG30" s="39"/>
      <c r="AH30" s="31"/>
      <c r="AI30" s="38"/>
      <c r="AJ30" s="295"/>
    </row>
    <row r="31" spans="4:36" ht="27" customHeight="1" x14ac:dyDescent="0.15">
      <c r="D31" s="130">
        <v>36</v>
      </c>
      <c r="AB31" s="31" t="s">
        <v>739</v>
      </c>
      <c r="AC31" s="40" t="s">
        <v>785</v>
      </c>
      <c r="AE31" s="41"/>
      <c r="AF31" s="41"/>
      <c r="AG31" s="42">
        <f t="shared" ref="AG31:AG36" si="0">IF(AF31&gt;0,AE31/AF31*100,IF(AE31=0,100,120))</f>
        <v>100</v>
      </c>
      <c r="AH31" s="31" t="s">
        <v>748</v>
      </c>
      <c r="AI31" s="42">
        <f>IF(AG31&gt;120,3,IF(AG31&gt;=80,2,1))</f>
        <v>2</v>
      </c>
      <c r="AJ31" s="295"/>
    </row>
    <row r="32" spans="4:36" ht="37.5" customHeight="1" x14ac:dyDescent="0.15">
      <c r="D32" s="130">
        <v>50</v>
      </c>
      <c r="AB32" s="31" t="s">
        <v>741</v>
      </c>
      <c r="AC32" s="40" t="s">
        <v>786</v>
      </c>
      <c r="AE32" s="41"/>
      <c r="AF32" s="41"/>
      <c r="AG32" s="42">
        <f t="shared" si="0"/>
        <v>100</v>
      </c>
      <c r="AH32" s="31" t="s">
        <v>726</v>
      </c>
      <c r="AI32" s="42">
        <f>IF(AG32&lt;80,3,IF(AG32&lt;=120,2,1))</f>
        <v>2</v>
      </c>
      <c r="AJ32" s="295"/>
    </row>
    <row r="33" spans="4:36" ht="37.5" customHeight="1" x14ac:dyDescent="0.15">
      <c r="D33" s="130">
        <v>50</v>
      </c>
      <c r="AB33" s="31" t="s">
        <v>743</v>
      </c>
      <c r="AC33" s="40" t="s">
        <v>787</v>
      </c>
      <c r="AE33" s="41"/>
      <c r="AF33" s="41"/>
      <c r="AG33" s="42">
        <f t="shared" si="0"/>
        <v>100</v>
      </c>
      <c r="AH33" s="31" t="s">
        <v>748</v>
      </c>
      <c r="AI33" s="42">
        <f>IF(AG33&gt;120,3,IF(AG33&gt;=80,2,1))</f>
        <v>2</v>
      </c>
      <c r="AJ33" s="295"/>
    </row>
    <row r="34" spans="4:36" ht="37.5" customHeight="1" x14ac:dyDescent="0.15">
      <c r="D34" s="130">
        <v>50</v>
      </c>
      <c r="AB34" s="31" t="s">
        <v>788</v>
      </c>
      <c r="AC34" s="40" t="s">
        <v>789</v>
      </c>
      <c r="AE34" s="41"/>
      <c r="AF34" s="41"/>
      <c r="AG34" s="42">
        <f t="shared" si="0"/>
        <v>100</v>
      </c>
      <c r="AH34" s="31" t="s">
        <v>748</v>
      </c>
      <c r="AI34" s="42">
        <f>IF(AG34&gt;120,3,IF(AG34&gt;=80,2,1))</f>
        <v>2</v>
      </c>
      <c r="AJ34" s="295"/>
    </row>
    <row r="35" spans="4:36" ht="27" customHeight="1" x14ac:dyDescent="0.15">
      <c r="D35" s="130">
        <v>36</v>
      </c>
      <c r="AB35" s="31" t="s">
        <v>790</v>
      </c>
      <c r="AC35" s="40" t="s">
        <v>791</v>
      </c>
      <c r="AE35" s="41"/>
      <c r="AF35" s="41"/>
      <c r="AG35" s="42">
        <f t="shared" si="0"/>
        <v>100</v>
      </c>
      <c r="AH35" s="31" t="s">
        <v>726</v>
      </c>
      <c r="AI35" s="42">
        <f>IF(AG35&lt;80,3,IF(AG35&lt;=120,2,1))</f>
        <v>2</v>
      </c>
      <c r="AJ35" s="295"/>
    </row>
    <row r="36" spans="4:36" ht="27" customHeight="1" x14ac:dyDescent="0.15">
      <c r="D36" s="130">
        <v>36</v>
      </c>
      <c r="AB36" s="31" t="s">
        <v>792</v>
      </c>
      <c r="AC36" s="40" t="s">
        <v>793</v>
      </c>
      <c r="AE36" s="53"/>
      <c r="AF36" s="53"/>
      <c r="AG36" s="42">
        <f t="shared" si="0"/>
        <v>100</v>
      </c>
      <c r="AH36" s="31" t="s">
        <v>726</v>
      </c>
      <c r="AI36" s="42">
        <f>IF(AG36&lt;80,3,IF(AG36&lt;=120,2,1))</f>
        <v>2</v>
      </c>
      <c r="AJ36" s="295"/>
    </row>
    <row r="37" spans="4:36" ht="15.75" customHeight="1" x14ac:dyDescent="0.15">
      <c r="D37" s="130">
        <v>21</v>
      </c>
      <c r="AB37" s="34" t="s">
        <v>143</v>
      </c>
      <c r="AC37" s="35" t="s">
        <v>794</v>
      </c>
      <c r="AE37" s="38"/>
      <c r="AF37" s="38"/>
      <c r="AG37" s="39"/>
      <c r="AH37" s="31"/>
      <c r="AI37" s="37">
        <f>(AI39+AI40)/2</f>
        <v>2</v>
      </c>
      <c r="AJ37" s="295"/>
    </row>
    <row r="38" spans="4:36" ht="15.75" customHeight="1" x14ac:dyDescent="0.15">
      <c r="D38" s="130">
        <v>21</v>
      </c>
      <c r="AB38" s="34"/>
      <c r="AC38" s="35" t="s">
        <v>723</v>
      </c>
      <c r="AE38" s="38"/>
      <c r="AF38" s="38"/>
      <c r="AG38" s="39"/>
      <c r="AH38" s="31"/>
      <c r="AI38" s="38"/>
      <c r="AJ38" s="295"/>
    </row>
    <row r="39" spans="4:36" ht="15.75" customHeight="1" x14ac:dyDescent="0.15">
      <c r="D39" s="130">
        <v>21</v>
      </c>
      <c r="AB39" s="31" t="s">
        <v>774</v>
      </c>
      <c r="AC39" s="40" t="s">
        <v>795</v>
      </c>
      <c r="AE39" s="53"/>
      <c r="AF39" s="53"/>
      <c r="AG39" s="42">
        <f>IF(AF39&gt;0,AE39/AF39*100,IF(AE39=0,100,120))</f>
        <v>100</v>
      </c>
      <c r="AH39" s="31" t="s">
        <v>748</v>
      </c>
      <c r="AI39" s="42">
        <f>IF(AG39&gt;120,3,IF(AG39&gt;=80,2,1))</f>
        <v>2</v>
      </c>
      <c r="AJ39" s="295"/>
    </row>
    <row r="40" spans="4:36" ht="27" customHeight="1" x14ac:dyDescent="0.15">
      <c r="D40" s="130">
        <v>36</v>
      </c>
      <c r="AB40" s="31" t="s">
        <v>776</v>
      </c>
      <c r="AC40" s="40" t="s">
        <v>796</v>
      </c>
      <c r="AE40" s="38"/>
      <c r="AF40" s="38"/>
      <c r="AG40" s="39"/>
      <c r="AH40" s="31"/>
      <c r="AI40" s="37">
        <f>(AI41+AI42+AI43)/3</f>
        <v>2</v>
      </c>
      <c r="AJ40" s="295"/>
    </row>
    <row r="41" spans="4:36" ht="15.75" customHeight="1" x14ac:dyDescent="0.15">
      <c r="D41" s="130">
        <v>21</v>
      </c>
      <c r="AB41" s="31" t="s">
        <v>797</v>
      </c>
      <c r="AC41" s="40" t="s">
        <v>798</v>
      </c>
      <c r="AE41" s="58"/>
      <c r="AF41" s="58"/>
      <c r="AG41" s="42">
        <f>IF(AF41&gt;0,AE41/AF41*100,IF(AE41=0,100,120))</f>
        <v>100</v>
      </c>
      <c r="AH41" s="31" t="s">
        <v>726</v>
      </c>
      <c r="AI41" s="42">
        <f>IF(AG41&lt;80,3,IF(AG41&lt;=120,2,1))</f>
        <v>2</v>
      </c>
      <c r="AJ41" s="295"/>
    </row>
    <row r="42" spans="4:36" ht="15.75" customHeight="1" x14ac:dyDescent="0.15">
      <c r="D42" s="130">
        <v>21</v>
      </c>
      <c r="AB42" s="31" t="s">
        <v>799</v>
      </c>
      <c r="AC42" s="40" t="s">
        <v>800</v>
      </c>
      <c r="AE42" s="58"/>
      <c r="AF42" s="58"/>
      <c r="AG42" s="42">
        <f>IF(AF42&gt;0,AE42/AF42*100,IF(AE42=0,100,120))</f>
        <v>100</v>
      </c>
      <c r="AH42" s="31" t="s">
        <v>726</v>
      </c>
      <c r="AI42" s="42">
        <f>IF(AG42&lt;80,3,IF(AG42&lt;=120,2,1))</f>
        <v>2</v>
      </c>
      <c r="AJ42" s="295"/>
    </row>
    <row r="43" spans="4:36" ht="15.75" customHeight="1" x14ac:dyDescent="0.15">
      <c r="D43" s="130">
        <v>21</v>
      </c>
      <c r="AB43" s="31" t="s">
        <v>801</v>
      </c>
      <c r="AC43" s="40" t="s">
        <v>802</v>
      </c>
      <c r="AE43" s="58"/>
      <c r="AF43" s="58"/>
      <c r="AG43" s="42">
        <f>IF(AF43&gt;0,AE43/AF43*100,IF(AE43=0,100,120))</f>
        <v>100</v>
      </c>
      <c r="AH43" s="31" t="s">
        <v>726</v>
      </c>
      <c r="AI43" s="42">
        <f>IF(AG43&lt;80,3,IF(AG43&lt;=120,2,1))</f>
        <v>2</v>
      </c>
      <c r="AJ43" s="295"/>
    </row>
    <row r="44" spans="4:36" ht="15.75" customHeight="1" x14ac:dyDescent="0.15">
      <c r="D44" s="130">
        <v>21</v>
      </c>
      <c r="AB44" s="34" t="s">
        <v>151</v>
      </c>
      <c r="AC44" s="55" t="s">
        <v>803</v>
      </c>
      <c r="AE44" s="296"/>
      <c r="AF44" s="296"/>
      <c r="AG44" s="42">
        <f>AG45</f>
        <v>100</v>
      </c>
      <c r="AH44" s="31" t="s">
        <v>748</v>
      </c>
      <c r="AI44" s="42">
        <f>AI45</f>
        <v>2</v>
      </c>
      <c r="AJ44" s="295"/>
    </row>
    <row r="45" spans="4:36" ht="27" customHeight="1" x14ac:dyDescent="0.15">
      <c r="D45" s="130">
        <v>36</v>
      </c>
      <c r="AB45" s="31" t="s">
        <v>779</v>
      </c>
      <c r="AC45" s="40" t="s">
        <v>804</v>
      </c>
      <c r="AE45" s="58"/>
      <c r="AF45" s="58"/>
      <c r="AG45" s="42">
        <f>IF(AF45&gt;0,AE45/AF45*100,IF(AE45=0,100,120))</f>
        <v>100</v>
      </c>
      <c r="AH45" s="31" t="s">
        <v>748</v>
      </c>
      <c r="AI45" s="42">
        <f>IF(AG45&gt;120,3,IF(AG45&gt;=80,2,1))</f>
        <v>2</v>
      </c>
      <c r="AJ45" s="295"/>
    </row>
    <row r="46" spans="4:36" ht="27" customHeight="1" x14ac:dyDescent="0.15">
      <c r="D46" s="130">
        <v>36</v>
      </c>
      <c r="AB46" s="34" t="s">
        <v>158</v>
      </c>
      <c r="AC46" s="35" t="s">
        <v>805</v>
      </c>
      <c r="AE46" s="297"/>
      <c r="AF46" s="297"/>
      <c r="AG46" s="39"/>
      <c r="AH46" s="31"/>
      <c r="AI46" s="37">
        <f>(AI48+AI49)/2</f>
        <v>2</v>
      </c>
      <c r="AJ46" s="295"/>
    </row>
    <row r="47" spans="4:36" ht="15.75" customHeight="1" x14ac:dyDescent="0.15">
      <c r="D47" s="130">
        <v>21</v>
      </c>
      <c r="AB47" s="31"/>
      <c r="AC47" s="46" t="s">
        <v>723</v>
      </c>
      <c r="AE47" s="297"/>
      <c r="AF47" s="297"/>
      <c r="AG47" s="39"/>
      <c r="AH47" s="31"/>
      <c r="AI47" s="38"/>
      <c r="AJ47" s="295"/>
    </row>
    <row r="48" spans="4:36" ht="27" customHeight="1" x14ac:dyDescent="0.15">
      <c r="D48" s="130">
        <v>36</v>
      </c>
      <c r="AB48" s="31" t="s">
        <v>749</v>
      </c>
      <c r="AC48" s="40" t="s">
        <v>806</v>
      </c>
      <c r="AE48" s="58"/>
      <c r="AF48" s="58"/>
      <c r="AG48" s="42">
        <f>IF(AF48&gt;0,AE48/AF48*100,IF(AE48=0,100,120))</f>
        <v>100</v>
      </c>
      <c r="AH48" s="31" t="s">
        <v>748</v>
      </c>
      <c r="AI48" s="42">
        <f>IF(AG48&gt;120,3,IF(AG48&gt;=80,2,1))</f>
        <v>2</v>
      </c>
      <c r="AJ48" s="295"/>
    </row>
    <row r="49" spans="4:37" ht="47.25" customHeight="1" x14ac:dyDescent="0.15">
      <c r="D49" s="130">
        <v>63</v>
      </c>
      <c r="AB49" s="31" t="s">
        <v>807</v>
      </c>
      <c r="AC49" s="40" t="s">
        <v>808</v>
      </c>
      <c r="AE49" s="41"/>
      <c r="AF49" s="41"/>
      <c r="AG49" s="42">
        <f>IF(AF49&gt;0,AE49/AF49*100,IF(AE49=0,100,120))</f>
        <v>100</v>
      </c>
      <c r="AH49" s="31" t="s">
        <v>726</v>
      </c>
      <c r="AI49" s="42">
        <f>IF(AG49&lt;80,3,IF(AG49&lt;=120,2,1))</f>
        <v>2</v>
      </c>
      <c r="AJ49" s="295"/>
    </row>
    <row r="50" spans="4:37" ht="15.75" customHeight="1" x14ac:dyDescent="0.15">
      <c r="D50" s="130">
        <v>21</v>
      </c>
      <c r="AB50" s="34" t="s">
        <v>703</v>
      </c>
      <c r="AC50" s="35" t="s">
        <v>809</v>
      </c>
      <c r="AE50" s="38"/>
      <c r="AF50" s="38"/>
      <c r="AG50" s="38"/>
      <c r="AH50" s="31"/>
      <c r="AI50" s="37">
        <f>(AI28+AI29+AI37+AI44+AI46)/5</f>
        <v>2</v>
      </c>
      <c r="AJ50" s="295"/>
    </row>
    <row r="51" spans="4:37" ht="6" customHeight="1" x14ac:dyDescent="0.15">
      <c r="D51" s="130">
        <v>8</v>
      </c>
    </row>
    <row r="52" spans="4:37" ht="12" customHeight="1" x14ac:dyDescent="0.15">
      <c r="D52" s="130">
        <v>16</v>
      </c>
      <c r="AB52" s="59" t="s">
        <v>810</v>
      </c>
    </row>
    <row r="53" spans="4:37" ht="31.5" customHeight="1" x14ac:dyDescent="0.15">
      <c r="D53" s="130">
        <v>42</v>
      </c>
      <c r="AB53" s="47"/>
      <c r="AC53" s="18" t="str">
        <f>IF(LEN(ruk_dol)=0,"",ruk_dol)</f>
        <v>Генеральный директор</v>
      </c>
      <c r="AD53" s="671"/>
      <c r="AE53" s="671"/>
      <c r="AF53" s="671"/>
      <c r="AG53" s="672"/>
      <c r="AH53" s="672"/>
      <c r="AI53" s="672"/>
    </row>
    <row r="54" spans="4:37" ht="15.75" customHeight="1" x14ac:dyDescent="0.15">
      <c r="D54" s="130">
        <v>21</v>
      </c>
      <c r="AC54" s="49" t="s">
        <v>652</v>
      </c>
      <c r="AD54" s="641"/>
      <c r="AE54" s="641"/>
      <c r="AF54" s="641"/>
      <c r="AG54" s="673" t="s">
        <v>758</v>
      </c>
      <c r="AH54" s="641"/>
      <c r="AI54" s="641"/>
    </row>
    <row r="55" spans="4:37" ht="12" customHeight="1" x14ac:dyDescent="0.15">
      <c r="D55" s="130">
        <v>16</v>
      </c>
      <c r="AB55" s="21"/>
      <c r="AC55" s="18"/>
      <c r="AI55" s="57"/>
      <c r="AJ55" s="57"/>
    </row>
    <row r="56" spans="4:37" ht="11.25" hidden="1" customHeight="1" x14ac:dyDescent="0.15">
      <c r="D56" s="130">
        <v>0</v>
      </c>
      <c r="AB56" s="685"/>
      <c r="AC56" s="685"/>
      <c r="AE56" s="685"/>
      <c r="AF56" s="685"/>
      <c r="AG56" s="685"/>
      <c r="AH56" s="685"/>
      <c r="AI56" s="685"/>
      <c r="AJ56" s="60"/>
    </row>
    <row r="57" spans="4:37" ht="11.25" hidden="1" customHeight="1" x14ac:dyDescent="0.15">
      <c r="D57" s="130">
        <v>0</v>
      </c>
      <c r="AB57" s="298"/>
      <c r="AC57" s="18"/>
      <c r="AI57" s="57"/>
      <c r="AJ57" s="57"/>
    </row>
    <row r="58" spans="4:37" ht="11.25" hidden="1" customHeight="1" x14ac:dyDescent="0.15">
      <c r="D58" s="130">
        <v>0</v>
      </c>
      <c r="AB58" s="685"/>
      <c r="AC58" s="685"/>
      <c r="AE58" s="641"/>
      <c r="AF58" s="641"/>
      <c r="AG58" s="641"/>
      <c r="AH58" s="641"/>
      <c r="AI58" s="641"/>
    </row>
    <row r="59" spans="4:37" ht="11.25" hidden="1" customHeight="1" x14ac:dyDescent="0.15">
      <c r="D59" s="130">
        <v>0</v>
      </c>
      <c r="AB59" s="298"/>
      <c r="AC59" s="18"/>
    </row>
    <row r="60" spans="4:37" ht="11.25" hidden="1" customHeight="1" x14ac:dyDescent="0.15">
      <c r="D60" s="130">
        <v>0</v>
      </c>
      <c r="AB60" s="685"/>
      <c r="AC60" s="685"/>
    </row>
    <row r="61" spans="4:37" ht="11.25" hidden="1" customHeight="1" x14ac:dyDescent="0.15">
      <c r="D61" s="299">
        <v>0</v>
      </c>
      <c r="AK61" t="s">
        <v>71</v>
      </c>
    </row>
  </sheetData>
  <sheetProtection formatColumns="0" formatRows="0" insertRows="0" deleteColumns="0" deleteRows="0" sort="0" autoFilter="0"/>
  <mergeCells count="19">
    <mergeCell ref="AG25:AG26"/>
    <mergeCell ref="AH25:AH26"/>
    <mergeCell ref="AI25:AI26"/>
    <mergeCell ref="AB21:AD21"/>
    <mergeCell ref="AB58:AC58"/>
    <mergeCell ref="AE58:AI58"/>
    <mergeCell ref="AB22:AI22"/>
    <mergeCell ref="AB23:AC23"/>
    <mergeCell ref="AB24:AB26"/>
    <mergeCell ref="AC24:AC26"/>
    <mergeCell ref="AE24:AI24"/>
    <mergeCell ref="AE25:AF25"/>
    <mergeCell ref="AB60:AC60"/>
    <mergeCell ref="AD53:AF53"/>
    <mergeCell ref="AG53:AI53"/>
    <mergeCell ref="AD54:AF54"/>
    <mergeCell ref="AG54:AI54"/>
    <mergeCell ref="AB56:AC56"/>
    <mergeCell ref="AE56:AI56"/>
  </mergeCells>
  <dataValidations count="2">
    <dataValidation type="decimal" allowBlank="1" showErrorMessage="1" errorTitle="Ошибка" error="Допускается ввод только неотрицательных чисел!" sqref="AE48:AF49 AE31:AF36 AE39:AF39 AE45 AE41:AE43 AF41:AF43 AF45">
      <formula1>0</formula1>
      <formula2>9.99999999999999E+23</formula2>
    </dataValidation>
    <dataValidation type="list" allowBlank="1" showInputMessage="1" showErrorMessage="1" sqref="AE28:AF28">
      <formula1>"0,1"</formula1>
    </dataValidation>
  </dataValidations>
  <pageMargins left="0.75" right="0.75" top="0.98" bottom="0.98" header="0.51" footer="0.51"/>
  <pageSetup paperSize="9" scale="30" orientation="landscape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G34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6" style="166" customWidth="1"/>
    <col min="29" max="29" width="60" style="166" customWidth="1"/>
    <col min="30" max="30" width="13" style="166" customWidth="1"/>
    <col min="31" max="31" width="15.140625" style="166" hidden="1" customWidth="1"/>
    <col min="32" max="32" width="19" style="166" customWidth="1"/>
    <col min="33" max="33" width="9.140625" hidden="1"/>
  </cols>
  <sheetData>
    <row r="1" spans="4:33" ht="22.5" hidden="1" customHeight="1" x14ac:dyDescent="0.15"/>
    <row r="2" spans="4:33" ht="12.75" hidden="1" customHeight="1" x14ac:dyDescent="0.15">
      <c r="AE2" s="59" t="b">
        <f>REPORT_OWNER="Версия регулятора"</f>
        <v>0</v>
      </c>
    </row>
    <row r="3" spans="4:33" ht="11.25" hidden="1" customHeight="1" x14ac:dyDescent="0.15"/>
    <row r="4" spans="4:33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42</v>
      </c>
      <c r="AC4" s="130">
        <v>420</v>
      </c>
      <c r="AD4" s="130">
        <v>91</v>
      </c>
      <c r="AE4" s="130">
        <v>106</v>
      </c>
      <c r="AF4" s="130">
        <v>133</v>
      </c>
      <c r="AG4" s="131">
        <v>0</v>
      </c>
    </row>
    <row r="5" spans="4:33" ht="26.25" hidden="1" customHeight="1" x14ac:dyDescent="0.15">
      <c r="D5" s="130">
        <v>35</v>
      </c>
    </row>
    <row r="6" spans="4:33" ht="26.25" hidden="1" customHeight="1" x14ac:dyDescent="0.15">
      <c r="D6" s="130">
        <v>35</v>
      </c>
    </row>
    <row r="7" spans="4:33" ht="26.25" hidden="1" customHeight="1" x14ac:dyDescent="0.15">
      <c r="D7" s="130">
        <v>35</v>
      </c>
    </row>
    <row r="8" spans="4:33" ht="26.25" hidden="1" customHeight="1" x14ac:dyDescent="0.15">
      <c r="D8" s="130">
        <v>35</v>
      </c>
    </row>
    <row r="9" spans="4:33" ht="26.25" hidden="1" customHeight="1" x14ac:dyDescent="0.15">
      <c r="D9" s="130">
        <v>35</v>
      </c>
    </row>
    <row r="10" spans="4:33" ht="26.25" hidden="1" customHeight="1" x14ac:dyDescent="0.15">
      <c r="D10" s="130">
        <v>35</v>
      </c>
    </row>
    <row r="11" spans="4:33" ht="26.25" hidden="1" customHeight="1" x14ac:dyDescent="0.15">
      <c r="D11" s="130">
        <v>35</v>
      </c>
    </row>
    <row r="12" spans="4:33" ht="26.25" hidden="1" customHeight="1" x14ac:dyDescent="0.15">
      <c r="D12" s="130">
        <v>35</v>
      </c>
    </row>
    <row r="13" spans="4:33" ht="26.25" hidden="1" customHeight="1" x14ac:dyDescent="0.15">
      <c r="D13" s="130">
        <v>35</v>
      </c>
    </row>
    <row r="14" spans="4:33" ht="26.25" hidden="1" customHeight="1" x14ac:dyDescent="0.15">
      <c r="D14" s="130">
        <v>35</v>
      </c>
    </row>
    <row r="15" spans="4:33" ht="26.25" hidden="1" customHeight="1" x14ac:dyDescent="0.15">
      <c r="D15" s="130">
        <v>35</v>
      </c>
    </row>
    <row r="16" spans="4:33" ht="26.25" hidden="1" customHeight="1" x14ac:dyDescent="0.15">
      <c r="D16" s="130">
        <v>35</v>
      </c>
    </row>
    <row r="17" spans="4:32" ht="26.25" hidden="1" customHeight="1" x14ac:dyDescent="0.15">
      <c r="D17" s="130">
        <v>35</v>
      </c>
    </row>
    <row r="18" spans="4:32" ht="26.25" hidden="1" customHeight="1" x14ac:dyDescent="0.15">
      <c r="D18" s="130">
        <v>35</v>
      </c>
    </row>
    <row r="19" spans="4:32" ht="26.25" hidden="1" customHeight="1" x14ac:dyDescent="0.15">
      <c r="D19" s="130">
        <v>35</v>
      </c>
    </row>
    <row r="20" spans="4:32" ht="15" customHeight="1" x14ac:dyDescent="0.15">
      <c r="D20" s="130">
        <v>20</v>
      </c>
    </row>
    <row r="21" spans="4:32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2" ht="51.75" customHeight="1" x14ac:dyDescent="0.15">
      <c r="D22" s="130">
        <v>69</v>
      </c>
      <c r="AB22" s="663" t="s">
        <v>811</v>
      </c>
      <c r="AC22" s="663"/>
      <c r="AD22" s="663"/>
    </row>
    <row r="23" spans="4:32" ht="6" customHeight="1" x14ac:dyDescent="0.15">
      <c r="D23" s="130">
        <v>8</v>
      </c>
    </row>
    <row r="24" spans="4:32" ht="26.25" customHeight="1" x14ac:dyDescent="0.15">
      <c r="D24" s="130">
        <v>35</v>
      </c>
      <c r="AB24" s="31" t="s">
        <v>687</v>
      </c>
      <c r="AC24" s="31" t="s">
        <v>812</v>
      </c>
      <c r="AD24" s="31" t="str">
        <f>IF(PRD="","Не определено",PRD)&amp;" год Факт"</f>
        <v>2025 год Факт</v>
      </c>
      <c r="AE24" s="300" t="str">
        <f>IF(PRD="","Не определено",PRD)&amp;" год Факт"</f>
        <v>2025 год Факт</v>
      </c>
    </row>
    <row r="25" spans="4:32" ht="2.25" customHeight="1" x14ac:dyDescent="0.15">
      <c r="D25" s="130">
        <v>3</v>
      </c>
    </row>
    <row r="26" spans="4:32" ht="27" customHeight="1" x14ac:dyDescent="0.15">
      <c r="D26" s="130">
        <v>36</v>
      </c>
      <c r="AB26" s="31" t="s">
        <v>112</v>
      </c>
      <c r="AC26" s="40" t="s">
        <v>813</v>
      </c>
      <c r="AD26" s="42">
        <f>MAX('ф.8.1.1 Ведомость_свод'!AD27:AD38)</f>
        <v>1500</v>
      </c>
      <c r="AE26" s="42">
        <f>MAX('ф.8.1.1 Ведомость_свод'!AM27:AM38)</f>
        <v>1500</v>
      </c>
    </row>
    <row r="27" spans="4:32" ht="24.75" customHeight="1" x14ac:dyDescent="0.15">
      <c r="D27" s="130">
        <v>33</v>
      </c>
      <c r="AB27" s="31" t="s">
        <v>692</v>
      </c>
      <c r="AC27" s="40" t="s">
        <v>814</v>
      </c>
      <c r="AD27" s="301">
        <f>IF(AD26=0,0,SUMPRODUCT('ф.8.1 Журнал учета'!$AJ$29:$AJ$249,'ф.8.1 Журнал учета'!$AN$29:$AN$249,--ISNUMBER(SEARCH("В",'ф.8.1 Журнал учета'!$AI$29:$AI$249)),--ISNUMBER(SEARCH(1,'ф.8.1 Журнал учета'!$BB$29:$BB$249)))/AD26)</f>
        <v>1.4166666666627843E-2</v>
      </c>
      <c r="AE27" s="62">
        <f>IF(AE26=0,0,SUMPRODUCT('ф.8.1 Журнал учета'!$BT$29:$BT$249,'ф.8.1 Журнал учета'!$BU$29:$BU$249,--ISNUMBER(SEARCH("В",'ф.8.1 Журнал учета'!$BS$29:$BS$249)),--ISNUMBER(SEARCH(1,'ф.8.1 Журнал учета'!$CD$29:$CD$249)))/AE26)</f>
        <v>1.4166666666627843E-2</v>
      </c>
    </row>
    <row r="28" spans="4:32" ht="28.5" customHeight="1" x14ac:dyDescent="0.15">
      <c r="D28" s="130">
        <v>38</v>
      </c>
      <c r="AB28" s="31" t="s">
        <v>143</v>
      </c>
      <c r="AC28" s="40" t="s">
        <v>815</v>
      </c>
      <c r="AD28" s="62">
        <f>IF(AD26=0,0,SUMIFS('ф.8.1 Журнал учета'!$AN$29:$AN$249,'ф.8.1 Журнал учета'!$AI$29:$AI$249,"В",'ф.8.1 Журнал учета'!$BB$29:$BB$249,"=1")/AD26)</f>
        <v>4.6666666666666671E-3</v>
      </c>
      <c r="AE28" s="62">
        <f>IF(AE26=0,0,SUMIFS('ф.8.1 Журнал учета'!$BU$29:$BU$249,'ф.8.1 Журнал учета'!$BS$29:$BS$249,"В",'ф.8.1 Журнал учета'!$CD$29:$CD$249,"=1")/AE26)</f>
        <v>4.6666666666666671E-3</v>
      </c>
    </row>
    <row r="29" spans="4:32" ht="12" customHeight="1" x14ac:dyDescent="0.15">
      <c r="D29" s="130">
        <v>16</v>
      </c>
      <c r="AB29" s="685"/>
      <c r="AC29" s="685"/>
      <c r="AD29" s="60"/>
    </row>
    <row r="30" spans="4:32" ht="47.25" customHeight="1" x14ac:dyDescent="0.15">
      <c r="D30" s="130">
        <v>63</v>
      </c>
      <c r="AB30" s="302"/>
      <c r="AC30" s="48" t="str">
        <f>IF(LEN(ruk_dol)=0,"",ruk_dol)</f>
        <v>Генеральный директор</v>
      </c>
      <c r="AD30" s="671" t="str">
        <f>IF(LEN(ruk_FIO)=0,"",ruk_FIO)</f>
        <v>Шохин Александр Ефимович</v>
      </c>
      <c r="AE30" s="671"/>
    </row>
    <row r="31" spans="4:32" ht="21.75" customHeight="1" x14ac:dyDescent="0.15">
      <c r="D31" s="130">
        <v>29</v>
      </c>
      <c r="AB31" s="51"/>
      <c r="AC31" s="50" t="s">
        <v>652</v>
      </c>
      <c r="AD31" s="673" t="s">
        <v>757</v>
      </c>
      <c r="AE31" s="641"/>
      <c r="AF31" s="49" t="s">
        <v>758</v>
      </c>
    </row>
    <row r="32" spans="4:32" ht="12" customHeight="1" x14ac:dyDescent="0.15">
      <c r="D32" s="130">
        <v>16</v>
      </c>
      <c r="AB32" s="302"/>
      <c r="AC32" s="18"/>
      <c r="AD32" s="18"/>
    </row>
    <row r="33" spans="4:33" ht="11.25" hidden="1" customHeight="1" x14ac:dyDescent="0.15">
      <c r="D33" s="130">
        <v>0</v>
      </c>
      <c r="AB33" s="685"/>
      <c r="AC33" s="685"/>
      <c r="AD33" s="60"/>
    </row>
    <row r="34" spans="4:33" ht="11.25" hidden="1" customHeight="1" x14ac:dyDescent="0.15">
      <c r="D34" s="131">
        <v>0</v>
      </c>
      <c r="AG34" t="s">
        <v>71</v>
      </c>
    </row>
  </sheetData>
  <sheetProtection formatColumns="0" formatRows="0" insertRows="0" deleteColumns="0" deleteRows="0" sort="0" autoFilter="0"/>
  <mergeCells count="6">
    <mergeCell ref="AB21:AD21"/>
    <mergeCell ref="AB29:AC29"/>
    <mergeCell ref="AB33:AC33"/>
    <mergeCell ref="AB22:AD22"/>
    <mergeCell ref="AD31:AE31"/>
    <mergeCell ref="AD30:AE30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showGridLines="0" topLeftCell="AA20" workbookViewId="0">
      <selection activeCell="AD34" sqref="AD34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6" width="8" style="166" hidden="1" customWidth="1"/>
    <col min="7" max="7" width="100" style="166" hidden="1" customWidth="1"/>
    <col min="8" max="26" width="8" style="166" hidden="1" customWidth="1"/>
    <col min="27" max="27" width="3.7109375" style="166" customWidth="1"/>
    <col min="28" max="28" width="6" style="166" customWidth="1"/>
    <col min="29" max="29" width="62.140625" style="166" customWidth="1"/>
    <col min="30" max="30" width="13" style="166" customWidth="1"/>
    <col min="31" max="31" width="15.140625" style="166" hidden="1" customWidth="1"/>
    <col min="32" max="32" width="19" style="166" customWidth="1"/>
    <col min="33" max="33" width="9.140625" hidden="1"/>
  </cols>
  <sheetData>
    <row r="1" spans="4:33" ht="22.5" hidden="1" customHeight="1" x14ac:dyDescent="0.15"/>
    <row r="2" spans="4:33" ht="12.75" hidden="1" customHeight="1" x14ac:dyDescent="0.15">
      <c r="AE2" s="59" t="b">
        <f>REPORT_OWNER="Версия регулятора"</f>
        <v>0</v>
      </c>
    </row>
    <row r="3" spans="4:33" ht="11.25" hidden="1" customHeight="1" x14ac:dyDescent="0.15"/>
    <row r="4" spans="4:33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42</v>
      </c>
      <c r="AC4" s="130">
        <v>435</v>
      </c>
      <c r="AD4" s="130">
        <v>91</v>
      </c>
      <c r="AE4" s="130">
        <v>106</v>
      </c>
      <c r="AF4" s="130">
        <v>133</v>
      </c>
      <c r="AG4" s="131">
        <v>0</v>
      </c>
    </row>
    <row r="5" spans="4:33" ht="26.25" hidden="1" customHeight="1" x14ac:dyDescent="0.15">
      <c r="D5" s="130">
        <v>35</v>
      </c>
      <c r="E5" s="157" t="s">
        <v>600</v>
      </c>
      <c r="F5" s="303" t="s">
        <v>601</v>
      </c>
      <c r="G5" s="154" t="s">
        <v>602</v>
      </c>
      <c r="H5" s="154" t="s">
        <v>603</v>
      </c>
    </row>
    <row r="6" spans="4:33" ht="26.25" hidden="1" customHeight="1" x14ac:dyDescent="0.15">
      <c r="D6" s="130">
        <v>35</v>
      </c>
      <c r="E6" s="304" t="s">
        <v>816</v>
      </c>
      <c r="AD6" s="156" t="s">
        <v>617</v>
      </c>
      <c r="AE6" s="156" t="s">
        <v>817</v>
      </c>
    </row>
    <row r="7" spans="4:33" ht="26.25" hidden="1" customHeight="1" x14ac:dyDescent="0.15">
      <c r="D7" s="130">
        <v>35</v>
      </c>
    </row>
    <row r="8" spans="4:33" ht="26.25" hidden="1" customHeight="1" x14ac:dyDescent="0.15">
      <c r="D8" s="130">
        <v>35</v>
      </c>
    </row>
    <row r="9" spans="4:33" ht="26.25" hidden="1" customHeight="1" x14ac:dyDescent="0.15">
      <c r="D9" s="130">
        <v>35</v>
      </c>
    </row>
    <row r="10" spans="4:33" ht="26.25" hidden="1" customHeight="1" x14ac:dyDescent="0.15">
      <c r="D10" s="130">
        <v>35</v>
      </c>
    </row>
    <row r="11" spans="4:33" ht="26.25" hidden="1" customHeight="1" x14ac:dyDescent="0.15">
      <c r="D11" s="130">
        <v>35</v>
      </c>
    </row>
    <row r="12" spans="4:33" ht="26.25" hidden="1" customHeight="1" x14ac:dyDescent="0.15">
      <c r="D12" s="130">
        <v>35</v>
      </c>
    </row>
    <row r="13" spans="4:33" ht="26.25" hidden="1" customHeight="1" x14ac:dyDescent="0.15">
      <c r="D13" s="130">
        <v>35</v>
      </c>
    </row>
    <row r="14" spans="4:33" ht="26.25" hidden="1" customHeight="1" x14ac:dyDescent="0.15">
      <c r="D14" s="130">
        <v>35</v>
      </c>
    </row>
    <row r="15" spans="4:33" ht="26.25" hidden="1" customHeight="1" x14ac:dyDescent="0.15">
      <c r="D15" s="130">
        <v>35</v>
      </c>
    </row>
    <row r="16" spans="4:33" ht="26.25" hidden="1" customHeight="1" x14ac:dyDescent="0.15">
      <c r="D16" s="130">
        <v>35</v>
      </c>
    </row>
    <row r="17" spans="4:31" ht="26.25" hidden="1" customHeight="1" x14ac:dyDescent="0.15">
      <c r="D17" s="130">
        <v>35</v>
      </c>
    </row>
    <row r="18" spans="4:31" ht="26.25" hidden="1" customHeight="1" x14ac:dyDescent="0.15">
      <c r="D18" s="130">
        <v>35</v>
      </c>
    </row>
    <row r="19" spans="4:31" ht="26.25" hidden="1" customHeight="1" x14ac:dyDescent="0.15">
      <c r="D19" s="130">
        <v>35</v>
      </c>
    </row>
    <row r="20" spans="4:31" ht="15" customHeight="1" x14ac:dyDescent="0.15">
      <c r="D20" s="130">
        <v>20</v>
      </c>
    </row>
    <row r="21" spans="4:31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1" ht="51.75" customHeight="1" x14ac:dyDescent="0.15">
      <c r="D22" s="130">
        <v>69</v>
      </c>
      <c r="AB22" s="663" t="s">
        <v>818</v>
      </c>
      <c r="AC22" s="663"/>
      <c r="AD22" s="663"/>
    </row>
    <row r="23" spans="4:31" ht="6" customHeight="1" x14ac:dyDescent="0.15">
      <c r="D23" s="130">
        <v>8</v>
      </c>
    </row>
    <row r="24" spans="4:31" ht="26.25" customHeight="1" x14ac:dyDescent="0.15">
      <c r="D24" s="130">
        <v>35</v>
      </c>
      <c r="AB24" s="31" t="s">
        <v>687</v>
      </c>
      <c r="AC24" s="31" t="s">
        <v>812</v>
      </c>
      <c r="AD24" s="31" t="str">
        <f>IF(PRD="","Не определено",PRD)&amp;" год Факт"</f>
        <v>2025 год Факт</v>
      </c>
      <c r="AE24" s="61" t="str">
        <f>IF(PRD="","Не определено",PRD)&amp;" год Факт"</f>
        <v>2025 год Факт</v>
      </c>
    </row>
    <row r="25" spans="4:31" ht="2.25" customHeight="1" x14ac:dyDescent="0.15">
      <c r="D25" s="130">
        <v>3</v>
      </c>
    </row>
    <row r="26" spans="4:31" ht="22.5" customHeight="1" x14ac:dyDescent="0.15">
      <c r="D26" s="305">
        <v>30</v>
      </c>
      <c r="F26" s="154" t="s">
        <v>607</v>
      </c>
      <c r="G26" s="155" t="s">
        <v>819</v>
      </c>
      <c r="H26" s="686" t="s">
        <v>614</v>
      </c>
      <c r="AB26" s="31" t="s">
        <v>112</v>
      </c>
      <c r="AC26" s="40" t="s">
        <v>820</v>
      </c>
      <c r="AD26" s="42">
        <f>AD27+AD28+AD29+AD30</f>
        <v>1500</v>
      </c>
      <c r="AE26" s="42">
        <f>AE27+AE28+AE29+AE30</f>
        <v>1500</v>
      </c>
    </row>
    <row r="27" spans="4:31" ht="22.5" customHeight="1" x14ac:dyDescent="0.15">
      <c r="D27" s="158">
        <v>30</v>
      </c>
      <c r="F27" s="154" t="s">
        <v>821</v>
      </c>
      <c r="G27" s="155" t="s">
        <v>822</v>
      </c>
      <c r="H27" s="686"/>
      <c r="AB27" s="31" t="s">
        <v>724</v>
      </c>
      <c r="AC27" s="40" t="s">
        <v>823</v>
      </c>
      <c r="AD27" s="64">
        <v>4</v>
      </c>
      <c r="AE27" s="307">
        <f>AD27</f>
        <v>4</v>
      </c>
    </row>
    <row r="28" spans="4:31" ht="22.5" customHeight="1" x14ac:dyDescent="0.15">
      <c r="D28" s="158">
        <v>30</v>
      </c>
      <c r="F28" s="154" t="s">
        <v>824</v>
      </c>
      <c r="G28" s="155" t="s">
        <v>825</v>
      </c>
      <c r="H28" s="686"/>
      <c r="AB28" s="31" t="s">
        <v>727</v>
      </c>
      <c r="AC28" s="40" t="s">
        <v>826</v>
      </c>
      <c r="AD28" s="64">
        <v>9</v>
      </c>
      <c r="AE28" s="307">
        <f>AD28</f>
        <v>9</v>
      </c>
    </row>
    <row r="29" spans="4:31" ht="22.5" customHeight="1" x14ac:dyDescent="0.15">
      <c r="D29" s="158">
        <v>30</v>
      </c>
      <c r="F29" s="154" t="s">
        <v>827</v>
      </c>
      <c r="G29" s="155" t="s">
        <v>828</v>
      </c>
      <c r="H29" s="686"/>
      <c r="AB29" s="31" t="s">
        <v>769</v>
      </c>
      <c r="AC29" s="40" t="s">
        <v>829</v>
      </c>
      <c r="AD29" s="64">
        <v>309</v>
      </c>
      <c r="AE29" s="307">
        <f>AD29</f>
        <v>309</v>
      </c>
    </row>
    <row r="30" spans="4:31" ht="22.5" customHeight="1" x14ac:dyDescent="0.15">
      <c r="D30" s="158">
        <v>30</v>
      </c>
      <c r="F30" s="154" t="s">
        <v>830</v>
      </c>
      <c r="G30" s="155" t="s">
        <v>831</v>
      </c>
      <c r="H30" s="686"/>
      <c r="AB30" s="31" t="s">
        <v>832</v>
      </c>
      <c r="AC30" s="40" t="s">
        <v>833</v>
      </c>
      <c r="AD30" s="64">
        <v>1178</v>
      </c>
      <c r="AE30" s="307">
        <f>AD30</f>
        <v>1178</v>
      </c>
    </row>
    <row r="31" spans="4:31" ht="34.5" customHeight="1" x14ac:dyDescent="0.15">
      <c r="D31" s="158">
        <v>45</v>
      </c>
      <c r="F31" s="154" t="s">
        <v>834</v>
      </c>
      <c r="G31" s="155" t="s">
        <v>835</v>
      </c>
      <c r="H31" s="686"/>
      <c r="AB31" s="31" t="s">
        <v>692</v>
      </c>
      <c r="AC31" s="40" t="s">
        <v>836</v>
      </c>
      <c r="AD31" s="637">
        <f>IF(AD27=0,"-",ROUND(SUMPRODUCT('ф.8.1 Журнал учета'!$AJ$29:$AJ$249,'ф.8.1 Журнал учета'!$AR$29:$AR$249,--ISNUMBER(SEARCH("В",'ф.8.1 Журнал учета'!$AI$29:$AI$249)),--ISNUMBER(SEARCH(1,'ф.8.1 Журнал учета'!$BB$29:$BB$249)))/AD27,5))</f>
        <v>0</v>
      </c>
      <c r="AE31" s="160">
        <f>IF(AE27=0,"-",ROUND(SUMPRODUCT('ф.8.1 Журнал учета'!$BT$29:$BT$249,'ф.8.1 Журнал учета'!$BY$29:$BY$249,--ISNUMBER(SEARCH("В",'ф.8.1 Журнал учета'!$BS$29:$BS$249)),--ISNUMBER(SEARCH(1,'ф.8.1 Журнал учета'!$CD$29:$CD$249)))/AE27,5))</f>
        <v>0</v>
      </c>
    </row>
    <row r="32" spans="4:31" ht="34.5" customHeight="1" x14ac:dyDescent="0.15">
      <c r="D32" s="158">
        <v>45</v>
      </c>
      <c r="F32" s="154" t="s">
        <v>837</v>
      </c>
      <c r="G32" s="155" t="s">
        <v>838</v>
      </c>
      <c r="H32" s="686"/>
      <c r="AB32" s="31" t="s">
        <v>143</v>
      </c>
      <c r="AC32" s="40" t="s">
        <v>839</v>
      </c>
      <c r="AD32" s="637">
        <f>IF(AD28=0,"-",ROUND(SUMPRODUCT('ф.8.1 Журнал учета'!$AJ$29:$AJ$249,'ф.8.1 Журнал учета'!$AS$29:$AS$249,--ISNUMBER(SEARCH("В",'ф.8.1 Журнал учета'!$AI$29:$AI$249)),--ISNUMBER(SEARCH(1,'ф.8.1 Журнал учета'!$BB$29:$BB$249)))/AD28,5))</f>
        <v>0</v>
      </c>
      <c r="AE32" s="160">
        <f>IF(AE28=0,"-",ROUND(SUMPRODUCT('ф.8.1 Журнал учета'!$BT$29:$BT$249,'ф.8.1 Журнал учета'!$BZ$29:$BZ$249,--ISNUMBER(SEARCH("В",'ф.8.1 Журнал учета'!$BS$29:$BS$249)),--ISNUMBER(SEARCH(1,'ф.8.1 Журнал учета'!$CD$29:$CD$249)))/AE28,5))</f>
        <v>0</v>
      </c>
    </row>
    <row r="33" spans="4:33" ht="34.5" customHeight="1" x14ac:dyDescent="0.15">
      <c r="D33" s="158">
        <v>45</v>
      </c>
      <c r="F33" s="154" t="s">
        <v>840</v>
      </c>
      <c r="G33" s="155" t="s">
        <v>841</v>
      </c>
      <c r="H33" s="686"/>
      <c r="AB33" s="31" t="s">
        <v>151</v>
      </c>
      <c r="AC33" s="40" t="s">
        <v>842</v>
      </c>
      <c r="AD33" s="637">
        <f>IF(AD29=0,"-",ROUND(SUMPRODUCT('ф.8.1 Журнал учета'!$AJ$29:$AJ$249,'ф.8.1 Журнал учета'!$AT$29:$AT$249,--ISNUMBER(SEARCH("В",'ф.8.1 Журнал учета'!$AI$29:$AI$249)),--ISNUMBER(SEARCH(1,'ф.8.1 Журнал учета'!$BB$29:$BB$249)))/AD29,5))</f>
        <v>6.8769999999999998E-2</v>
      </c>
      <c r="AE33" s="160">
        <f>IF(AE29=0,"-",ROUND(SUMPRODUCT('ф.8.1 Журнал учета'!$BT$29:$BT$249,'ф.8.1 Журнал учета'!$CA$29:$CA$249,--ISNUMBER(SEARCH("В",'ф.8.1 Журнал учета'!$BS$29:$BS$249)),--ISNUMBER(SEARCH(1,'ф.8.1 Журнал учета'!$CD$29:$CD$249)))/AE29,5))</f>
        <v>6.8769999999999998E-2</v>
      </c>
    </row>
    <row r="34" spans="4:33" ht="34.5" customHeight="1" x14ac:dyDescent="0.15">
      <c r="D34" s="158">
        <v>45</v>
      </c>
      <c r="F34" s="154" t="s">
        <v>843</v>
      </c>
      <c r="G34" s="155" t="s">
        <v>844</v>
      </c>
      <c r="H34" s="686"/>
      <c r="AB34" s="31" t="s">
        <v>158</v>
      </c>
      <c r="AC34" s="40" t="s">
        <v>845</v>
      </c>
      <c r="AD34" s="637">
        <f>IF(AD30=0,"-",ROUND(SUMPRODUCT('ф.8.1 Журнал учета'!$AJ$29:$AJ$249,'ф.8.1 Журнал учета'!$AU$29:$AU$249,--ISNUMBER(SEARCH("В",'ф.8.1 Журнал учета'!$AI$29:$AI$249)),--ISNUMBER(SEARCH(1,'ф.8.1 Журнал учета'!$BB$29:$BB$249)))/AD30,5))</f>
        <v>0</v>
      </c>
      <c r="AE34" s="160">
        <f>IF(AE30=0,"-",ROUND(SUMPRODUCT('ф.8.1 Журнал учета'!$BT$29:$BT$249,'ф.8.1 Журнал учета'!$CB$29:$CB$249,--ISNUMBER(SEARCH("В",'ф.8.1 Журнал учета'!$BS$29:$BS$249)),--ISNUMBER(SEARCH(1,'ф.8.1 Журнал учета'!$CD$29:$CD$249)))/AE30,5))</f>
        <v>0</v>
      </c>
    </row>
    <row r="35" spans="4:33" ht="34.5" customHeight="1" x14ac:dyDescent="0.15">
      <c r="D35" s="158">
        <v>30</v>
      </c>
      <c r="F35" s="154" t="s">
        <v>846</v>
      </c>
      <c r="G35" s="155" t="s">
        <v>847</v>
      </c>
      <c r="H35" s="686"/>
      <c r="AB35" s="31" t="s">
        <v>703</v>
      </c>
      <c r="AC35" s="40" t="s">
        <v>848</v>
      </c>
      <c r="AD35" s="637">
        <f>IF(AD27=0,"-",ROUND(SUMIFS('ф.8.1 Журнал учета'!$AR$29:$AR$249,'ф.8.1 Журнал учета'!$AI$29:$AI$249,"В",'ф.8.1 Журнал учета'!$BB$29:$BB$249,"=1")/AD27,5))</f>
        <v>0</v>
      </c>
      <c r="AE35" s="160">
        <f>IF(AE27=0,"-",ROUND(SUMIFS('ф.8.1 Журнал учета'!$BY$29:$BY$249,'ф.8.1 Журнал учета'!$BS$29:$BS$249,"В",'ф.8.1 Журнал учета'!$CD$29:$CD$249,"=1")/AE27,5))</f>
        <v>0</v>
      </c>
    </row>
    <row r="36" spans="4:33" ht="34.5" customHeight="1" x14ac:dyDescent="0.15">
      <c r="D36" s="158">
        <v>45</v>
      </c>
      <c r="F36" s="154" t="s">
        <v>849</v>
      </c>
      <c r="G36" s="155" t="s">
        <v>850</v>
      </c>
      <c r="H36" s="686"/>
      <c r="AB36" s="31" t="s">
        <v>704</v>
      </c>
      <c r="AC36" s="40" t="s">
        <v>851</v>
      </c>
      <c r="AD36" s="637">
        <f>IF(AD28=0,"-",ROUND(SUMIFS('ф.8.1 Журнал учета'!$AS$29:$AS$249,'ф.8.1 Журнал учета'!$AI$29:$AI$249,"В",'ф.8.1 Журнал учета'!$BB$29:$BB$249,"=1")/AD28,5))</f>
        <v>0</v>
      </c>
      <c r="AE36" s="160">
        <f>IF(AE28=0,"-",ROUND(SUMIFS('ф.8.1 Журнал учета'!$BZ$29:$BZ$249,'ф.8.1 Журнал учета'!$BS$29:$BS$249,"В",'ф.8.1 Журнал учета'!$CD$29:$CD$249,"=1")/AE28,5))</f>
        <v>0</v>
      </c>
    </row>
    <row r="37" spans="4:33" ht="34.5" customHeight="1" x14ac:dyDescent="0.15">
      <c r="D37" s="158">
        <v>45</v>
      </c>
      <c r="F37" s="154" t="s">
        <v>852</v>
      </c>
      <c r="G37" s="155" t="s">
        <v>853</v>
      </c>
      <c r="H37" s="686"/>
      <c r="AB37" s="31" t="s">
        <v>705</v>
      </c>
      <c r="AC37" s="40" t="s">
        <v>854</v>
      </c>
      <c r="AD37" s="637">
        <f>IF(AD29=0,"-",ROUND(SUMIFS('ф.8.1 Журнал учета'!$AT$29:$AT$249,'ф.8.1 Журнал учета'!$AI$29:$AI$249,"В",'ф.8.1 Журнал учета'!$BB$29:$BB$249,"=1")/AD29,5))</f>
        <v>2.265E-2</v>
      </c>
      <c r="AE37" s="160">
        <f>IF(AE29=0,"-",ROUND(SUMIFS('ф.8.1 Журнал учета'!$CA$29:$CA$249,'ф.8.1 Журнал учета'!$BS$29:$BS$249,"В",'ф.8.1 Журнал учета'!$CD$29:$CD$249,"=1")/AE29,5))</f>
        <v>2.265E-2</v>
      </c>
    </row>
    <row r="38" spans="4:33" ht="34.5" customHeight="1" x14ac:dyDescent="0.15">
      <c r="D38" s="158">
        <v>30</v>
      </c>
      <c r="F38" s="154" t="s">
        <v>855</v>
      </c>
      <c r="G38" s="155" t="s">
        <v>856</v>
      </c>
      <c r="H38" s="686"/>
      <c r="AB38" s="31" t="s">
        <v>706</v>
      </c>
      <c r="AC38" s="40" t="s">
        <v>857</v>
      </c>
      <c r="AD38" s="637">
        <f>IF(AD30=0,"-",ROUND(SUMIFS('ф.8.1 Журнал учета'!$AU$29:$AU$249,'ф.8.1 Журнал учета'!$AI$29:$AI$249,"В",'ф.8.1 Журнал учета'!$BB$29:$BB$249,"=1")/AD30,5))</f>
        <v>0</v>
      </c>
      <c r="AE38" s="160">
        <f>IF(AE30=0,"-",ROUND(SUMIFS('ф.8.1 Журнал учета'!$CB$29:$CB$249,'ф.8.1 Журнал учета'!$BS$29:$BS$249,"В",'ф.8.1 Журнал учета'!$CD$29:$CD$249,"=1")/AE30,5))</f>
        <v>0</v>
      </c>
    </row>
    <row r="39" spans="4:33" ht="12" customHeight="1" x14ac:dyDescent="0.15">
      <c r="D39" s="130">
        <v>16</v>
      </c>
      <c r="AB39" s="685"/>
      <c r="AC39" s="685"/>
      <c r="AD39" s="60"/>
    </row>
    <row r="40" spans="4:33" ht="47.25" customHeight="1" x14ac:dyDescent="0.15">
      <c r="D40" s="130">
        <v>63</v>
      </c>
      <c r="AB40" s="63"/>
      <c r="AC40" s="48" t="str">
        <f>IF(LEN(ruk_dol)=0,"",ruk_dol)</f>
        <v>Генеральный директор</v>
      </c>
      <c r="AD40" s="687" t="str">
        <f>IF(LEN(ruk_FIO)=0,"",ruk_FIO)</f>
        <v>Шохин Александр Ефимович</v>
      </c>
      <c r="AE40" s="687"/>
    </row>
    <row r="41" spans="4:33" ht="21.75" customHeight="1" x14ac:dyDescent="0.15">
      <c r="D41" s="130">
        <v>29</v>
      </c>
      <c r="AB41" s="51"/>
      <c r="AC41" s="50" t="s">
        <v>652</v>
      </c>
      <c r="AD41" s="673" t="s">
        <v>757</v>
      </c>
      <c r="AE41" s="641"/>
      <c r="AF41" s="49" t="s">
        <v>758</v>
      </c>
    </row>
    <row r="42" spans="4:33" ht="12" customHeight="1" x14ac:dyDescent="0.15">
      <c r="D42" s="130">
        <v>16</v>
      </c>
      <c r="AB42" s="63"/>
      <c r="AC42" s="18"/>
      <c r="AD42" s="18"/>
    </row>
    <row r="43" spans="4:33" ht="11.25" hidden="1" customHeight="1" x14ac:dyDescent="0.15">
      <c r="D43" s="130">
        <v>0</v>
      </c>
      <c r="AB43" s="685"/>
      <c r="AC43" s="685"/>
      <c r="AD43" s="60"/>
    </row>
    <row r="44" spans="4:33" ht="11.25" hidden="1" customHeight="1" x14ac:dyDescent="0.15">
      <c r="D44" s="131">
        <v>0</v>
      </c>
      <c r="AG44" s="23" t="s">
        <v>71</v>
      </c>
    </row>
  </sheetData>
  <sheetProtection formatColumns="0" formatRows="0" insertRows="0" deleteColumns="0" deleteRows="0" sort="0" autoFilter="0"/>
  <mergeCells count="7">
    <mergeCell ref="H26:H38"/>
    <mergeCell ref="AB43:AC43"/>
    <mergeCell ref="AB21:AD21"/>
    <mergeCell ref="AB22:AD22"/>
    <mergeCell ref="AB39:AC39"/>
    <mergeCell ref="AD40:AE40"/>
    <mergeCell ref="AD41:AE41"/>
  </mergeCells>
  <dataValidations count="1">
    <dataValidation type="decimal" allowBlank="1" showErrorMessage="1" errorTitle="Ошибка" error="Допускается ввод только действительных чисел!" sqref="AD27:AD30">
      <formula1>-9.99999999999999E+23</formula1>
      <formula2>9.99999999999999E+23</formula2>
    </dataValidation>
  </dataValidation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CS250"/>
  <sheetViews>
    <sheetView showGridLines="0" topLeftCell="AE202" zoomScale="70" zoomScaleNormal="70" workbookViewId="0">
      <selection activeCell="AY36" sqref="AY36"/>
    </sheetView>
  </sheetViews>
  <sheetFormatPr defaultColWidth="9.140625" defaultRowHeight="11.25" customHeight="1" x14ac:dyDescent="0.15"/>
  <cols>
    <col min="1" max="1" width="6.85546875" style="166" hidden="1" customWidth="1"/>
    <col min="2" max="2" width="5.4257812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10.42578125" style="166" customWidth="1"/>
    <col min="29" max="29" width="36.140625" style="166" customWidth="1"/>
    <col min="30" max="30" width="13" style="166" customWidth="1"/>
    <col min="31" max="31" width="27" style="166" customWidth="1"/>
    <col min="32" max="32" width="16" style="166" customWidth="1"/>
    <col min="33" max="34" width="15" style="166" customWidth="1"/>
    <col min="35" max="35" width="13.42578125" style="166" customWidth="1"/>
    <col min="36" max="36" width="17" style="166" customWidth="1"/>
    <col min="37" max="37" width="20.7109375" style="166" customWidth="1"/>
    <col min="38" max="38" width="18" style="166" customWidth="1"/>
    <col min="39" max="39" width="17.7109375" style="166" customWidth="1"/>
    <col min="41" max="43" width="10.140625" style="166" customWidth="1"/>
    <col min="44" max="44" width="14.7109375" style="166" customWidth="1"/>
    <col min="45" max="45" width="11.42578125" style="166" customWidth="1"/>
    <col min="46" max="46" width="12.7109375" style="166" customWidth="1"/>
    <col min="47" max="47" width="13.7109375" style="166" customWidth="1"/>
    <col min="48" max="48" width="15.5703125" style="166" customWidth="1"/>
    <col min="49" max="49" width="22.140625" style="166" customWidth="1"/>
    <col min="50" max="50" width="20.5703125" style="166" customWidth="1"/>
    <col min="51" max="53" width="15" style="166" customWidth="1"/>
    <col min="54" max="54" width="18" style="166" customWidth="1"/>
    <col min="55" max="55" width="19.7109375" style="166" hidden="1" customWidth="1"/>
    <col min="56" max="56" width="15" style="166" hidden="1" customWidth="1"/>
    <col min="57" max="67" width="9.140625" hidden="1"/>
    <col min="68" max="68" width="11.85546875" style="166" hidden="1" customWidth="1"/>
    <col min="69" max="70" width="25" style="166" hidden="1" customWidth="1"/>
    <col min="71" max="71" width="13.42578125" style="166" hidden="1" customWidth="1"/>
    <col min="72" max="72" width="17" style="166" hidden="1" customWidth="1"/>
    <col min="73" max="73" width="9.140625" hidden="1"/>
    <col min="74" max="76" width="10.140625" style="166" hidden="1" customWidth="1"/>
    <col min="77" max="77" width="14.7109375" style="166" hidden="1" customWidth="1"/>
    <col min="78" max="78" width="11.42578125" style="166" hidden="1" customWidth="1"/>
    <col min="79" max="79" width="12.7109375" style="166" hidden="1" customWidth="1"/>
    <col min="80" max="80" width="13.7109375" style="166" hidden="1" customWidth="1"/>
    <col min="81" max="81" width="15.5703125" style="166" hidden="1" customWidth="1"/>
    <col min="82" max="82" width="18" style="166" hidden="1" customWidth="1"/>
    <col min="83" max="83" width="15" style="166" hidden="1" customWidth="1"/>
    <col min="84" max="87" width="6.140625" style="166" hidden="1" customWidth="1"/>
    <col min="88" max="88" width="2.140625" style="166" hidden="1" customWidth="1"/>
    <col min="89" max="89" width="1.85546875" style="166" hidden="1" customWidth="1"/>
    <col min="90" max="90" width="2.140625" style="166" hidden="1" customWidth="1"/>
    <col min="91" max="91" width="1.85546875" style="166" hidden="1" customWidth="1"/>
    <col min="92" max="92" width="2.140625" style="166" hidden="1" customWidth="1"/>
    <col min="93" max="93" width="1.85546875" style="166" hidden="1" customWidth="1"/>
    <col min="94" max="94" width="2.140625" style="166" hidden="1" customWidth="1"/>
    <col min="95" max="95" width="1.85546875" style="166" hidden="1" customWidth="1"/>
    <col min="96" max="97" width="9.140625" hidden="1"/>
  </cols>
  <sheetData>
    <row r="1" spans="4:97" ht="12.75" hidden="1" customHeight="1" x14ac:dyDescent="0.15">
      <c r="AA1" s="308" t="s">
        <v>681</v>
      </c>
      <c r="AB1" s="133" t="s">
        <v>682</v>
      </c>
      <c r="AC1" s="133" t="s">
        <v>683</v>
      </c>
      <c r="AG1" s="133" t="s">
        <v>858</v>
      </c>
      <c r="AH1" s="133" t="s">
        <v>859</v>
      </c>
      <c r="AI1" s="309" t="s">
        <v>860</v>
      </c>
      <c r="AJ1" s="133" t="s">
        <v>861</v>
      </c>
      <c r="AK1" s="133" t="s">
        <v>862</v>
      </c>
      <c r="AL1" s="133" t="s">
        <v>863</v>
      </c>
      <c r="AM1" s="133" t="s">
        <v>864</v>
      </c>
      <c r="AY1" s="134" t="s">
        <v>865</v>
      </c>
      <c r="AZ1" s="134" t="s">
        <v>866</v>
      </c>
      <c r="BA1" s="134" t="s">
        <v>867</v>
      </c>
      <c r="BB1" s="133" t="s">
        <v>868</v>
      </c>
      <c r="BC1" s="133" t="s">
        <v>869</v>
      </c>
      <c r="BD1" s="133" t="s">
        <v>684</v>
      </c>
      <c r="CD1" s="133" t="s">
        <v>870</v>
      </c>
      <c r="CR1" s="129" t="s">
        <v>685</v>
      </c>
    </row>
    <row r="2" spans="4:97" ht="12.75" hidden="1" customHeight="1" x14ac:dyDescent="0.15">
      <c r="BC2" s="59" t="b">
        <f>REGION_NAME="Волгоградская область"</f>
        <v>0</v>
      </c>
      <c r="BD2" s="59" t="b">
        <f>REGION_NAME="Красноярский край"</f>
        <v>0</v>
      </c>
      <c r="BQ2" s="50" t="b">
        <f t="shared" ref="BQ2:CD2" si="0">REPORT_OWNER="Версия регулятора"</f>
        <v>0</v>
      </c>
      <c r="BR2" s="50" t="b">
        <f t="shared" si="0"/>
        <v>0</v>
      </c>
      <c r="BS2" s="50" t="b">
        <f t="shared" si="0"/>
        <v>0</v>
      </c>
      <c r="BT2" s="50" t="b">
        <f t="shared" si="0"/>
        <v>0</v>
      </c>
      <c r="BU2" s="50" t="b">
        <f t="shared" si="0"/>
        <v>0</v>
      </c>
      <c r="BV2" s="50" t="b">
        <f t="shared" si="0"/>
        <v>0</v>
      </c>
      <c r="BW2" s="50" t="b">
        <f t="shared" si="0"/>
        <v>0</v>
      </c>
      <c r="BX2" s="50" t="b">
        <f t="shared" si="0"/>
        <v>0</v>
      </c>
      <c r="BY2" s="50" t="b">
        <f t="shared" si="0"/>
        <v>0</v>
      </c>
      <c r="BZ2" s="50" t="b">
        <f t="shared" si="0"/>
        <v>0</v>
      </c>
      <c r="CA2" s="50" t="b">
        <f t="shared" si="0"/>
        <v>0</v>
      </c>
      <c r="CB2" s="50" t="b">
        <f t="shared" si="0"/>
        <v>0</v>
      </c>
      <c r="CC2" s="50" t="b">
        <f t="shared" si="0"/>
        <v>0</v>
      </c>
      <c r="CD2" s="50" t="b">
        <f t="shared" si="0"/>
        <v>0</v>
      </c>
      <c r="CE2" s="50" t="b">
        <f>AND(REGION_NAME="Красноярский край",REPORT_OWNER="Версия регулятора")</f>
        <v>0</v>
      </c>
    </row>
    <row r="3" spans="4:97" ht="11.25" hidden="1" customHeight="1" x14ac:dyDescent="0.15"/>
    <row r="4" spans="4:97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36</v>
      </c>
      <c r="AC4" s="130">
        <v>253</v>
      </c>
      <c r="AD4" s="130">
        <v>91</v>
      </c>
      <c r="AE4" s="130">
        <v>189</v>
      </c>
      <c r="AF4" s="130">
        <v>112</v>
      </c>
      <c r="AG4" s="130">
        <v>105</v>
      </c>
      <c r="AH4" s="130">
        <v>105</v>
      </c>
      <c r="AI4" s="130">
        <v>94</v>
      </c>
      <c r="AJ4" s="130">
        <v>119</v>
      </c>
      <c r="AK4" s="130">
        <v>145</v>
      </c>
      <c r="AL4" s="130">
        <v>126</v>
      </c>
      <c r="AM4" s="130">
        <v>124</v>
      </c>
      <c r="AN4" s="130">
        <v>64</v>
      </c>
      <c r="AO4" s="130">
        <v>71</v>
      </c>
      <c r="AP4" s="130">
        <v>71</v>
      </c>
      <c r="AQ4" s="130">
        <v>71</v>
      </c>
      <c r="AR4" s="130">
        <v>103</v>
      </c>
      <c r="AS4" s="130">
        <v>80</v>
      </c>
      <c r="AT4" s="130">
        <v>89</v>
      </c>
      <c r="AU4" s="130">
        <v>96</v>
      </c>
      <c r="AV4" s="130">
        <v>109</v>
      </c>
      <c r="AW4" s="130">
        <v>155</v>
      </c>
      <c r="AX4" s="130">
        <v>144</v>
      </c>
      <c r="AY4" s="130">
        <v>105</v>
      </c>
      <c r="AZ4" s="130">
        <v>105</v>
      </c>
      <c r="BA4" s="130">
        <v>105</v>
      </c>
      <c r="BB4" s="130">
        <v>126</v>
      </c>
      <c r="BC4" s="130">
        <v>138</v>
      </c>
      <c r="BD4" s="130">
        <v>105</v>
      </c>
      <c r="BE4" s="130">
        <v>0</v>
      </c>
      <c r="BF4" s="130">
        <v>0</v>
      </c>
      <c r="BG4" s="130">
        <v>0</v>
      </c>
      <c r="BH4" s="130">
        <v>0</v>
      </c>
      <c r="BI4" s="130">
        <v>0</v>
      </c>
      <c r="BJ4" s="130">
        <v>0</v>
      </c>
      <c r="BK4" s="130">
        <v>0</v>
      </c>
      <c r="BL4" s="130">
        <v>0</v>
      </c>
      <c r="BM4" s="130">
        <v>0</v>
      </c>
      <c r="BN4" s="130">
        <v>0</v>
      </c>
      <c r="BO4" s="130">
        <v>0</v>
      </c>
      <c r="BP4" s="130">
        <v>0</v>
      </c>
      <c r="BQ4" s="130">
        <v>175</v>
      </c>
      <c r="BR4" s="130">
        <v>175</v>
      </c>
      <c r="BS4" s="130">
        <v>94</v>
      </c>
      <c r="BT4" s="130">
        <v>119</v>
      </c>
      <c r="BU4" s="130">
        <v>64</v>
      </c>
      <c r="BV4" s="130">
        <v>71</v>
      </c>
      <c r="BW4" s="130">
        <v>71</v>
      </c>
      <c r="BX4" s="130">
        <v>71</v>
      </c>
      <c r="BY4" s="130">
        <v>103</v>
      </c>
      <c r="BZ4" s="130">
        <v>80</v>
      </c>
      <c r="CA4" s="130">
        <v>89</v>
      </c>
      <c r="CB4" s="130">
        <v>96</v>
      </c>
      <c r="CC4" s="130">
        <v>109</v>
      </c>
      <c r="CD4" s="130">
        <v>126</v>
      </c>
      <c r="CE4" s="130">
        <v>105</v>
      </c>
      <c r="CF4" s="131">
        <v>0</v>
      </c>
      <c r="CG4" s="131">
        <v>0</v>
      </c>
      <c r="CH4" s="131">
        <v>0</v>
      </c>
      <c r="CI4" s="131">
        <v>0</v>
      </c>
      <c r="CJ4" s="131">
        <v>0</v>
      </c>
      <c r="CK4" s="131">
        <v>0</v>
      </c>
      <c r="CL4" s="131">
        <v>0</v>
      </c>
      <c r="CM4" s="131">
        <v>0</v>
      </c>
      <c r="CN4" s="131">
        <v>0</v>
      </c>
      <c r="CO4" s="131">
        <v>0</v>
      </c>
      <c r="CP4" s="131">
        <v>0</v>
      </c>
      <c r="CQ4" s="130">
        <v>0</v>
      </c>
      <c r="CR4" s="131">
        <v>0</v>
      </c>
      <c r="CS4" s="131">
        <v>0</v>
      </c>
    </row>
    <row r="5" spans="4:97" ht="26.25" hidden="1" customHeight="1" x14ac:dyDescent="0.15">
      <c r="D5" s="130">
        <v>35</v>
      </c>
      <c r="E5" s="129" t="s">
        <v>686</v>
      </c>
      <c r="AC5" s="129" t="str">
        <f>"""fieldUniq"":"""&amp;AC25&amp;""""</f>
        <v>"fieldUniq":"Наименование структурной единицы сетевой организации"</v>
      </c>
      <c r="AD5" t="str">
        <f>"""fieldUniq"":"""&amp;AD25&amp;""""</f>
        <v>"fieldUniq":"Вид объекта: Кабельная линия (далее - КЛ),Воздушная линия (далее - ВЛ), Кабельно-воздушная линия (далее - КВЛ), Подстанция (далее - ПС), Трансформаторная подстанция (далее - ТП), Распредели тельный пункт (далее - РП)"</v>
      </c>
      <c r="AE5" t="str">
        <f>"""fieldUniq"":"""&amp;AE25&amp;""""</f>
        <v>"fieldUniq":"Диспетчерское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услуг"</v>
      </c>
      <c r="AF5" t="str">
        <f>"""fieldUniq"":"""&amp;AF25&amp;""""</f>
        <v>"fieldUniq":"Высший класс напряжения отключенного оборудования, кВ"</v>
      </c>
      <c r="AG5" s="129" t="str">
        <f>"""fieldUniq"":"""&amp;$AG$25&amp;""""</f>
        <v>"fieldUniq":"Время и дата начала прекращения передачи электрической энергии (часы, минуты, год, месяц, день)"</v>
      </c>
      <c r="AH5" s="129" t="str">
        <f>"""fieldUniq"":"""&amp;$AH$25&amp;""""</f>
        <v>"fieldUniq":"Время и дата восстановления режима потребления электрической энергии потребителей услуг (часы, минуты, год, месяц, день)"</v>
      </c>
      <c r="AK5" t="str">
        <f>"""fieldUniq"":"""&amp;AK25&amp;""""</f>
        <v>"fieldUniq":"Перечень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КЛ)"</v>
      </c>
      <c r="AY5" s="129" t="str">
        <f>"""fieldUniq"":"""&amp;$AY$25&amp;""""</f>
        <v>"fieldUniq":"Номер и дата акта расследования технологического нарушения, записи в оперативном журнале"</v>
      </c>
    </row>
    <row r="6" spans="4:97" ht="26.25" hidden="1" customHeight="1" x14ac:dyDescent="0.15">
      <c r="D6" s="130">
        <v>35</v>
      </c>
    </row>
    <row r="7" spans="4:97" ht="26.25" hidden="1" customHeight="1" x14ac:dyDescent="0.15">
      <c r="D7" s="130">
        <v>35</v>
      </c>
    </row>
    <row r="8" spans="4:97" ht="26.25" hidden="1" customHeight="1" x14ac:dyDescent="0.15">
      <c r="D8" s="130">
        <v>35</v>
      </c>
      <c r="AB8" s="641"/>
      <c r="AC8" s="641"/>
      <c r="AJ8" s="641"/>
      <c r="AK8" s="641"/>
      <c r="AL8" s="641"/>
      <c r="AM8" s="641"/>
    </row>
    <row r="9" spans="4:97" ht="26.25" hidden="1" customHeight="1" x14ac:dyDescent="0.15">
      <c r="D9" s="130">
        <v>35</v>
      </c>
    </row>
    <row r="10" spans="4:97" ht="26.25" hidden="1" customHeight="1" x14ac:dyDescent="0.15">
      <c r="D10" s="130">
        <v>35</v>
      </c>
    </row>
    <row r="11" spans="4:97" ht="26.25" hidden="1" customHeight="1" x14ac:dyDescent="0.15">
      <c r="D11" s="130">
        <v>35</v>
      </c>
    </row>
    <row r="12" spans="4:97" ht="26.25" hidden="1" customHeight="1" x14ac:dyDescent="0.15">
      <c r="D12" s="130">
        <v>35</v>
      </c>
    </row>
    <row r="13" spans="4:97" ht="26.25" hidden="1" customHeight="1" x14ac:dyDescent="0.15">
      <c r="D13" s="130">
        <v>35</v>
      </c>
    </row>
    <row r="14" spans="4:97" ht="26.25" hidden="1" customHeight="1" x14ac:dyDescent="0.15">
      <c r="D14" s="130">
        <v>35</v>
      </c>
    </row>
    <row r="15" spans="4:97" ht="26.25" hidden="1" customHeight="1" x14ac:dyDescent="0.15">
      <c r="D15" s="130">
        <v>35</v>
      </c>
    </row>
    <row r="16" spans="4:97" ht="26.25" hidden="1" customHeight="1" x14ac:dyDescent="0.15">
      <c r="D16" s="130">
        <v>35</v>
      </c>
    </row>
    <row r="17" spans="2:96" ht="26.25" hidden="1" customHeight="1" x14ac:dyDescent="0.15">
      <c r="D17" s="130">
        <v>35</v>
      </c>
    </row>
    <row r="18" spans="2:96" ht="26.25" hidden="1" customHeight="1" x14ac:dyDescent="0.15">
      <c r="D18" s="130">
        <v>35</v>
      </c>
    </row>
    <row r="19" spans="2:96" ht="26.25" hidden="1" customHeight="1" x14ac:dyDescent="0.15">
      <c r="D19" s="130">
        <v>35</v>
      </c>
    </row>
    <row r="20" spans="2:96" ht="15" customHeight="1" x14ac:dyDescent="0.15">
      <c r="D20" s="130">
        <v>20</v>
      </c>
    </row>
    <row r="21" spans="2:96" ht="36.75" customHeight="1" x14ac:dyDescent="0.15">
      <c r="D21" s="130">
        <v>49</v>
      </c>
      <c r="AB21" s="688" t="str">
        <f>ORG</f>
        <v>ООО "Энергонефть Томск"</v>
      </c>
      <c r="AC21" s="641"/>
      <c r="AD21" s="641"/>
    </row>
    <row r="22" spans="2:96" ht="21.75" customHeight="1" x14ac:dyDescent="0.15">
      <c r="D22" s="130">
        <v>29</v>
      </c>
      <c r="AB22" s="663" t="str">
        <f>"Форма 8.1. Журнал учета данных первичной информации по всем прекращениям передачи электрической энергии, произошедших на объектах сетевой организации "&amp;PRD&amp;" год"</f>
        <v>Форма 8.1. Журнал учета данных первичной информации по всем прекращениям передачи электрической энергии, произошедших на объектах сетевой организации 2025 год</v>
      </c>
      <c r="AC22" s="663"/>
      <c r="AD22" s="663"/>
      <c r="AE22" s="663"/>
      <c r="AF22" s="663"/>
      <c r="AG22" s="663"/>
      <c r="AH22" s="663"/>
      <c r="AI22" s="663"/>
      <c r="AJ22" s="663"/>
      <c r="AK22" s="663"/>
      <c r="AL22" s="663"/>
      <c r="AM22" s="663"/>
      <c r="AN22" s="663"/>
      <c r="AO22" s="663"/>
      <c r="AP22" s="663"/>
      <c r="AQ22" s="663"/>
      <c r="AR22" s="663"/>
      <c r="AS22" s="663"/>
      <c r="AT22" s="663"/>
      <c r="AU22" s="663"/>
      <c r="AV22" s="663"/>
      <c r="AW22" s="663"/>
      <c r="AX22" s="663"/>
      <c r="AY22" s="663"/>
      <c r="AZ22" s="663"/>
      <c r="BA22" s="663"/>
      <c r="BB22" s="663"/>
      <c r="BC22" s="310"/>
      <c r="BD22" s="16"/>
    </row>
    <row r="23" spans="2:96" ht="6" customHeight="1" x14ac:dyDescent="0.15">
      <c r="D23" s="130">
        <v>8</v>
      </c>
    </row>
    <row r="24" spans="2:96" ht="27" customHeight="1" x14ac:dyDescent="0.15">
      <c r="D24" s="130">
        <v>36</v>
      </c>
      <c r="AB24" s="680" t="s">
        <v>871</v>
      </c>
      <c r="AC24" s="680"/>
      <c r="AD24" s="680"/>
      <c r="AE24" s="680"/>
      <c r="AF24" s="680"/>
      <c r="AG24" s="680"/>
      <c r="AH24" s="680"/>
      <c r="AI24" s="680"/>
      <c r="AJ24" s="680"/>
      <c r="AK24" s="680" t="s">
        <v>872</v>
      </c>
      <c r="AL24" s="680"/>
      <c r="AM24" s="680"/>
      <c r="AN24" s="680"/>
      <c r="AO24" s="680"/>
      <c r="AP24" s="680"/>
      <c r="AQ24" s="680"/>
      <c r="AR24" s="680"/>
      <c r="AS24" s="680"/>
      <c r="AT24" s="680"/>
      <c r="AU24" s="680"/>
      <c r="AV24" s="680"/>
      <c r="AW24" s="680"/>
      <c r="AX24" s="680" t="s">
        <v>873</v>
      </c>
      <c r="AY24" s="680" t="s">
        <v>874</v>
      </c>
      <c r="AZ24" s="680"/>
      <c r="BA24" s="680"/>
      <c r="BB24" s="680" t="s">
        <v>875</v>
      </c>
      <c r="BC24" s="680" t="s">
        <v>876</v>
      </c>
      <c r="BD24" s="680" t="s">
        <v>877</v>
      </c>
      <c r="BQ24" s="690" t="s">
        <v>817</v>
      </c>
      <c r="BR24" s="690"/>
      <c r="BS24" s="690"/>
      <c r="BT24" s="690"/>
      <c r="BU24" s="690"/>
      <c r="BV24" s="690"/>
      <c r="BW24" s="690"/>
      <c r="BX24" s="690"/>
      <c r="BY24" s="690"/>
      <c r="BZ24" s="690"/>
      <c r="CA24" s="690"/>
      <c r="CB24" s="690"/>
      <c r="CC24" s="690"/>
      <c r="CD24" s="691"/>
      <c r="CE24" s="65"/>
    </row>
    <row r="25" spans="2:96" ht="31.5" customHeight="1" x14ac:dyDescent="0.15">
      <c r="D25" s="130">
        <v>42</v>
      </c>
      <c r="AB25" s="680" t="s">
        <v>687</v>
      </c>
      <c r="AC25" s="680" t="s">
        <v>878</v>
      </c>
      <c r="AD25" s="680" t="s">
        <v>879</v>
      </c>
      <c r="AE25" s="680" t="s">
        <v>880</v>
      </c>
      <c r="AF25" s="680" t="s">
        <v>881</v>
      </c>
      <c r="AG25" s="680" t="s">
        <v>882</v>
      </c>
      <c r="AH25" s="680" t="s">
        <v>883</v>
      </c>
      <c r="AI25" s="680" t="s">
        <v>884</v>
      </c>
      <c r="AJ25" s="680" t="s">
        <v>885</v>
      </c>
      <c r="AK25" s="680" t="s">
        <v>886</v>
      </c>
      <c r="AL25" s="680" t="s">
        <v>887</v>
      </c>
      <c r="AM25" s="680" t="s">
        <v>888</v>
      </c>
      <c r="AN25" s="680" t="s">
        <v>889</v>
      </c>
      <c r="AO25" s="680"/>
      <c r="AP25" s="680"/>
      <c r="AQ25" s="680"/>
      <c r="AR25" s="680"/>
      <c r="AS25" s="680"/>
      <c r="AT25" s="680"/>
      <c r="AU25" s="680"/>
      <c r="AV25" s="680"/>
      <c r="AW25" s="680" t="s">
        <v>890</v>
      </c>
      <c r="AX25" s="680"/>
      <c r="AY25" s="680" t="s">
        <v>891</v>
      </c>
      <c r="AZ25" s="680" t="s">
        <v>75</v>
      </c>
      <c r="BA25" s="680" t="s">
        <v>892</v>
      </c>
      <c r="BB25" s="680"/>
      <c r="BC25" s="680"/>
      <c r="BD25" s="680"/>
      <c r="BQ25" s="680" t="s">
        <v>882</v>
      </c>
      <c r="BR25" s="680" t="s">
        <v>883</v>
      </c>
      <c r="BS25" s="680" t="s">
        <v>884</v>
      </c>
      <c r="BT25" s="680" t="s">
        <v>885</v>
      </c>
      <c r="BU25" s="680" t="s">
        <v>889</v>
      </c>
      <c r="BV25" s="680"/>
      <c r="BW25" s="680"/>
      <c r="BX25" s="680"/>
      <c r="BY25" s="680"/>
      <c r="BZ25" s="680"/>
      <c r="CA25" s="680"/>
      <c r="CB25" s="680"/>
      <c r="CC25" s="680"/>
      <c r="CD25" s="681" t="s">
        <v>875</v>
      </c>
      <c r="CE25" s="680" t="s">
        <v>893</v>
      </c>
    </row>
    <row r="26" spans="2:96" ht="51.75" customHeight="1" x14ac:dyDescent="0.15">
      <c r="D26" s="130">
        <v>69</v>
      </c>
      <c r="AB26" s="680"/>
      <c r="AC26" s="680" t="s">
        <v>692</v>
      </c>
      <c r="AD26" s="680" t="s">
        <v>143</v>
      </c>
      <c r="AE26" s="680" t="s">
        <v>151</v>
      </c>
      <c r="AF26" s="680">
        <v>5</v>
      </c>
      <c r="AG26" s="680">
        <v>6</v>
      </c>
      <c r="AH26" s="680"/>
      <c r="AI26" s="680">
        <v>8</v>
      </c>
      <c r="AJ26" s="680">
        <v>9</v>
      </c>
      <c r="AK26" s="680">
        <v>10</v>
      </c>
      <c r="AL26" s="680" t="s">
        <v>708</v>
      </c>
      <c r="AM26" s="680" t="s">
        <v>709</v>
      </c>
      <c r="AN26" s="680" t="s">
        <v>894</v>
      </c>
      <c r="AO26" s="680" t="s">
        <v>895</v>
      </c>
      <c r="AP26" s="680"/>
      <c r="AQ26" s="680"/>
      <c r="AR26" s="680" t="s">
        <v>896</v>
      </c>
      <c r="AS26" s="680"/>
      <c r="AT26" s="680"/>
      <c r="AU26" s="680"/>
      <c r="AV26" s="680" t="s">
        <v>897</v>
      </c>
      <c r="AW26" s="680"/>
      <c r="AX26" s="680"/>
      <c r="AY26" s="680"/>
      <c r="AZ26" s="680"/>
      <c r="BA26" s="680"/>
      <c r="BB26" s="680"/>
      <c r="BC26" s="680"/>
      <c r="BD26" s="680"/>
      <c r="BQ26" s="680">
        <v>6</v>
      </c>
      <c r="BR26" s="680"/>
      <c r="BS26" s="680">
        <v>8</v>
      </c>
      <c r="BT26" s="680">
        <v>9</v>
      </c>
      <c r="BU26" s="680" t="s">
        <v>894</v>
      </c>
      <c r="BV26" s="680" t="s">
        <v>895</v>
      </c>
      <c r="BW26" s="680"/>
      <c r="BX26" s="680"/>
      <c r="BY26" s="680" t="s">
        <v>896</v>
      </c>
      <c r="BZ26" s="680"/>
      <c r="CA26" s="680"/>
      <c r="CB26" s="680"/>
      <c r="CC26" s="680" t="s">
        <v>897</v>
      </c>
      <c r="CD26" s="689"/>
      <c r="CE26" s="680">
        <v>8</v>
      </c>
    </row>
    <row r="27" spans="2:96" ht="67.5" customHeight="1" x14ac:dyDescent="0.15">
      <c r="D27" s="130">
        <v>90</v>
      </c>
      <c r="AB27" s="680"/>
      <c r="AC27" s="680"/>
      <c r="AD27" s="680"/>
      <c r="AE27" s="680"/>
      <c r="AF27" s="680"/>
      <c r="AG27" s="680"/>
      <c r="AH27" s="680"/>
      <c r="AI27" s="680"/>
      <c r="AJ27" s="680"/>
      <c r="AK27" s="680"/>
      <c r="AL27" s="680"/>
      <c r="AM27" s="680"/>
      <c r="AN27" s="680"/>
      <c r="AO27" s="31" t="s">
        <v>898</v>
      </c>
      <c r="AP27" s="31" t="s">
        <v>899</v>
      </c>
      <c r="AQ27" s="31" t="s">
        <v>900</v>
      </c>
      <c r="AR27" s="31" t="s">
        <v>901</v>
      </c>
      <c r="AS27" s="31" t="s">
        <v>902</v>
      </c>
      <c r="AT27" s="31" t="s">
        <v>903</v>
      </c>
      <c r="AU27" s="31" t="s">
        <v>904</v>
      </c>
      <c r="AV27" s="680"/>
      <c r="AW27" s="680"/>
      <c r="AX27" s="680"/>
      <c r="AY27" s="680"/>
      <c r="AZ27" s="680"/>
      <c r="BA27" s="680"/>
      <c r="BB27" s="680"/>
      <c r="BC27" s="680"/>
      <c r="BD27" s="680"/>
      <c r="BQ27" s="680"/>
      <c r="BR27" s="680"/>
      <c r="BS27" s="680"/>
      <c r="BT27" s="680"/>
      <c r="BU27" s="680"/>
      <c r="BV27" s="31" t="s">
        <v>898</v>
      </c>
      <c r="BW27" s="31" t="s">
        <v>899</v>
      </c>
      <c r="BX27" s="31" t="s">
        <v>900</v>
      </c>
      <c r="BY27" s="31" t="s">
        <v>901</v>
      </c>
      <c r="BZ27" s="31" t="s">
        <v>902</v>
      </c>
      <c r="CA27" s="31" t="s">
        <v>903</v>
      </c>
      <c r="CB27" s="31" t="s">
        <v>904</v>
      </c>
      <c r="CC27" s="680"/>
      <c r="CD27" s="674"/>
      <c r="CE27" s="680"/>
    </row>
    <row r="28" spans="2:96" ht="15.75" customHeight="1" x14ac:dyDescent="0.15">
      <c r="D28" s="130">
        <v>21</v>
      </c>
      <c r="AB28" s="311">
        <v>1</v>
      </c>
      <c r="AC28" s="66">
        <v>2</v>
      </c>
      <c r="AD28" s="66">
        <v>3</v>
      </c>
      <c r="AE28" s="66">
        <v>4</v>
      </c>
      <c r="AF28" s="66">
        <v>5</v>
      </c>
      <c r="AG28" s="66">
        <v>6</v>
      </c>
      <c r="AH28" s="66">
        <v>7</v>
      </c>
      <c r="AI28" s="66">
        <v>8</v>
      </c>
      <c r="AJ28" s="66">
        <v>9</v>
      </c>
      <c r="AK28" s="66">
        <v>10</v>
      </c>
      <c r="AL28" s="66">
        <v>11</v>
      </c>
      <c r="AM28" s="66">
        <v>12</v>
      </c>
      <c r="AN28" s="66">
        <v>13</v>
      </c>
      <c r="AO28" s="66">
        <v>14</v>
      </c>
      <c r="AP28" s="66">
        <v>15</v>
      </c>
      <c r="AQ28" s="66">
        <v>16</v>
      </c>
      <c r="AR28" s="66">
        <v>17</v>
      </c>
      <c r="AS28" s="66">
        <v>18</v>
      </c>
      <c r="AT28" s="66">
        <v>19</v>
      </c>
      <c r="AU28" s="66">
        <v>20</v>
      </c>
      <c r="AV28" s="66">
        <v>21</v>
      </c>
      <c r="AW28" s="66">
        <v>22</v>
      </c>
      <c r="AX28" s="66">
        <v>23</v>
      </c>
      <c r="AY28" s="66">
        <v>24</v>
      </c>
      <c r="AZ28" s="66">
        <v>25</v>
      </c>
      <c r="BA28" s="66">
        <v>26</v>
      </c>
      <c r="BB28" s="66">
        <v>27</v>
      </c>
      <c r="BC28" s="66">
        <v>28</v>
      </c>
      <c r="BD28" s="66" t="s">
        <v>905</v>
      </c>
      <c r="BQ28" s="312">
        <v>6</v>
      </c>
      <c r="BR28" s="67">
        <v>7</v>
      </c>
      <c r="BS28" s="67">
        <v>8</v>
      </c>
      <c r="BT28" s="67">
        <v>9</v>
      </c>
      <c r="BU28" s="67">
        <v>13</v>
      </c>
      <c r="BV28" s="67">
        <v>14</v>
      </c>
      <c r="BW28" s="67">
        <v>15</v>
      </c>
      <c r="BX28" s="67">
        <v>16</v>
      </c>
      <c r="BY28" s="67">
        <v>17</v>
      </c>
      <c r="BZ28" s="67">
        <v>18</v>
      </c>
      <c r="CA28" s="67">
        <v>19</v>
      </c>
      <c r="CB28" s="67">
        <v>20</v>
      </c>
      <c r="CC28" s="67">
        <v>21</v>
      </c>
      <c r="CD28" s="67">
        <v>27</v>
      </c>
      <c r="CE28" s="67" t="s">
        <v>905</v>
      </c>
    </row>
    <row r="29" spans="2:96" ht="15.75" hidden="1" customHeight="1" x14ac:dyDescent="0.15">
      <c r="B29" s="59" t="b">
        <f>AB29&lt;&gt;$AB$29</f>
        <v>0</v>
      </c>
      <c r="D29" s="130">
        <v>21</v>
      </c>
      <c r="AA29" s="28" t="s">
        <v>701</v>
      </c>
      <c r="AB29" s="31" t="s">
        <v>906</v>
      </c>
      <c r="AC29" s="1"/>
      <c r="AD29" s="4"/>
      <c r="AE29" s="5"/>
      <c r="AF29" s="6"/>
      <c r="AG29" s="2"/>
      <c r="AH29" s="2"/>
      <c r="AI29" s="2"/>
      <c r="AJ29" s="7"/>
      <c r="AK29" s="5"/>
      <c r="AL29" s="5"/>
      <c r="AM29" s="5"/>
      <c r="AN29" s="42">
        <f t="shared" ref="AN29:AN92" si="1">AO29+AP29+AQ29+AV29</f>
        <v>0</v>
      </c>
      <c r="AO29" s="8"/>
      <c r="AP29" s="8"/>
      <c r="AQ29" s="8"/>
      <c r="AR29" s="8"/>
      <c r="AS29" s="8"/>
      <c r="AT29" s="8"/>
      <c r="AU29" s="42">
        <f t="shared" ref="AU29:AU92" si="2">AN29-AR29-AS29-AT29-AV29</f>
        <v>0</v>
      </c>
      <c r="AV29" s="8"/>
      <c r="AW29" s="8"/>
      <c r="AX29" s="5"/>
      <c r="AY29" s="9"/>
      <c r="AZ29" s="9"/>
      <c r="BA29" s="9"/>
      <c r="BB29" s="8"/>
      <c r="BC29" s="9"/>
      <c r="BD29" s="9"/>
      <c r="BE29" s="50">
        <f t="shared" ref="BE29:BE92" si="3">IF(AND(AI29="В",BB29="1"),SUMPRODUCT(AN29,AJ29),0)</f>
        <v>0</v>
      </c>
      <c r="BF29" s="50">
        <f t="shared" ref="BF29:BF92" si="4">IF(AND(AI29="В",BB29="1"),AN29,0)</f>
        <v>0</v>
      </c>
      <c r="BG29" s="50">
        <f t="shared" ref="BG29:BG92" si="5">IF(AI29="П",SUMPRODUCT(AN29,AJ29),0)</f>
        <v>0</v>
      </c>
      <c r="BH29" s="50">
        <f t="shared" ref="BH29:BH92" si="6">IF(AI29="П",AN29,0)</f>
        <v>0</v>
      </c>
      <c r="BI29" s="50">
        <f t="shared" ref="BI29:BI92" si="7">IF(AI29="П",SUMPRODUCT(AR29,AJ29),0)</f>
        <v>0</v>
      </c>
      <c r="BJ29" s="50">
        <f t="shared" ref="BJ29:BJ92" si="8">IF(AI29="П",AR29,0)</f>
        <v>0</v>
      </c>
      <c r="BK29" s="50">
        <f t="shared" ref="BK29:BK92" si="9">IF(AI29="П",SUMPRODUCT(AS29,AJ29),0)</f>
        <v>0</v>
      </c>
      <c r="BL29" s="50">
        <f t="shared" ref="BL29:BL92" si="10">IF(AI29="П",AS29,0)</f>
        <v>0</v>
      </c>
      <c r="BM29" s="50">
        <f t="shared" ref="BM29:BM92" si="11">IF(AI29="П",SUMPRODUCT(AT29,AJ29),0)</f>
        <v>0</v>
      </c>
      <c r="BN29" s="50">
        <f t="shared" ref="BN29:BN92" si="12">IF(AI29="П",AT29,0)</f>
        <v>0</v>
      </c>
      <c r="BO29" s="50">
        <f t="shared" ref="BO29:BO92" si="13">IF(AI29="П",SUMPRODUCT(AU29,AJ29),0)</f>
        <v>0</v>
      </c>
      <c r="BP29" s="50">
        <f t="shared" ref="BP29:BP92" si="14">IF(AI29="П",AU29,0)</f>
        <v>0</v>
      </c>
      <c r="BQ29" s="4">
        <f t="shared" ref="BQ29:BQ92" si="15">AG29</f>
        <v>0</v>
      </c>
      <c r="BR29" s="4">
        <f t="shared" ref="BR29:BR92" si="16">AH29</f>
        <v>0</v>
      </c>
      <c r="BS29" s="4">
        <f t="shared" ref="BS29:BS92" si="17">AI29</f>
        <v>0</v>
      </c>
      <c r="BT29" s="10">
        <f t="shared" ref="BT29:BT92" si="18">AJ29</f>
        <v>0</v>
      </c>
      <c r="BU29" s="42">
        <f t="shared" ref="BU29:BU92" si="19">BV29+BW29+BX29+CC29</f>
        <v>0</v>
      </c>
      <c r="BV29" s="11">
        <f t="shared" ref="BV29:BV92" si="20">AO29</f>
        <v>0</v>
      </c>
      <c r="BW29" s="11">
        <f t="shared" ref="BW29:BW92" si="21">AP29</f>
        <v>0</v>
      </c>
      <c r="BX29" s="11">
        <f t="shared" ref="BX29:BX92" si="22">AQ29</f>
        <v>0</v>
      </c>
      <c r="BY29" s="11">
        <f t="shared" ref="BY29:BY92" si="23">AR29</f>
        <v>0</v>
      </c>
      <c r="BZ29" s="11">
        <f t="shared" ref="BZ29:BZ92" si="24">AS29</f>
        <v>0</v>
      </c>
      <c r="CA29" s="11">
        <f t="shared" ref="CA29:CA92" si="25">AT29</f>
        <v>0</v>
      </c>
      <c r="CB29" s="42">
        <f t="shared" ref="CB29:CB92" si="26">BU29-BY29-BZ29-CA29-CC29</f>
        <v>0</v>
      </c>
      <c r="CC29" s="11">
        <f t="shared" ref="CC29:CC92" si="27">AV29</f>
        <v>0</v>
      </c>
      <c r="CD29" s="11">
        <f t="shared" ref="CD29:CD92" si="28">BB29</f>
        <v>0</v>
      </c>
      <c r="CE29" s="4"/>
      <c r="CF29" s="50">
        <f t="shared" ref="CF29:CF92" si="29">IF(AND(BS29="В",CD29="1"),SUMPRODUCT(BT29,BU29),0)</f>
        <v>0</v>
      </c>
      <c r="CG29" s="50">
        <f t="shared" ref="CG29:CG92" si="30">IF(AND(BS29="В",CD29="1"),BU29,0)</f>
        <v>0</v>
      </c>
      <c r="CH29" s="50">
        <f t="shared" ref="CH29:CH92" si="31">IF(BS29="П",SUMPRODUCT(BT29,BU29),0)</f>
        <v>0</v>
      </c>
      <c r="CI29" s="50">
        <f t="shared" ref="CI29:CI92" si="32">IF(BS29="П",BU29,0)</f>
        <v>0</v>
      </c>
      <c r="CJ29" s="50">
        <f t="shared" ref="CJ29:CJ92" si="33">IF(BS29="П",SUMPRODUCT(BT29,BY29),0)</f>
        <v>0</v>
      </c>
      <c r="CK29" s="50">
        <f t="shared" ref="CK29:CK92" si="34">IF(BS29="П",BY29,0)</f>
        <v>0</v>
      </c>
      <c r="CL29" s="50">
        <f t="shared" ref="CL29:CL92" si="35">IF(BS29="П",SUMPRODUCT(BT29,BZ29),0)</f>
        <v>0</v>
      </c>
      <c r="CM29" s="50">
        <f t="shared" ref="CM29:CM92" si="36">IF(BS29="П",BZ29,0)</f>
        <v>0</v>
      </c>
      <c r="CN29" s="50">
        <f t="shared" ref="CN29:CN92" si="37">IF(BS29="П",SUMPRODUCT(BT29,CA29),0)</f>
        <v>0</v>
      </c>
      <c r="CO29" s="50">
        <f t="shared" ref="CO29:CO92" si="38">IF(BS29="П",CA29,0)</f>
        <v>0</v>
      </c>
      <c r="CP29" s="50">
        <f t="shared" ref="CP29:CP92" si="39">IF(BS29="П",SUMPRODUCT(BT29,CB29),0)</f>
        <v>0</v>
      </c>
      <c r="CQ29" s="50">
        <f t="shared" ref="CQ29:CQ92" si="40">IF(BS29="П",CB29,0)</f>
        <v>0</v>
      </c>
      <c r="CR29" t="s">
        <v>702</v>
      </c>
    </row>
    <row r="30" spans="2:96" s="313" customFormat="1" ht="15.75" customHeight="1" x14ac:dyDescent="0.15">
      <c r="B30" s="59"/>
      <c r="D30" s="130">
        <v>21</v>
      </c>
      <c r="AA30" s="28" t="s">
        <v>701</v>
      </c>
      <c r="AB30" s="31" t="s">
        <v>724</v>
      </c>
      <c r="AC30" s="247" t="s">
        <v>1430</v>
      </c>
      <c r="AD30" s="314" t="s">
        <v>110</v>
      </c>
      <c r="AE30" s="315" t="s">
        <v>1431</v>
      </c>
      <c r="AF30" s="316" t="s">
        <v>1432</v>
      </c>
      <c r="AG30" s="248" t="s">
        <v>1433</v>
      </c>
      <c r="AH30" s="248" t="s">
        <v>1433</v>
      </c>
      <c r="AI30" s="248" t="s">
        <v>122</v>
      </c>
      <c r="AJ30" s="317">
        <v>0</v>
      </c>
      <c r="AK30" s="315" t="s">
        <v>1434</v>
      </c>
      <c r="AL30" s="315">
        <v>0</v>
      </c>
      <c r="AM30" s="315">
        <v>0</v>
      </c>
      <c r="AN30" s="42">
        <f t="shared" si="1"/>
        <v>1</v>
      </c>
      <c r="AO30" s="318">
        <v>0</v>
      </c>
      <c r="AP30" s="318">
        <v>0</v>
      </c>
      <c r="AQ30" s="318">
        <v>1</v>
      </c>
      <c r="AR30" s="318">
        <v>0</v>
      </c>
      <c r="AS30" s="318">
        <v>0</v>
      </c>
      <c r="AT30" s="318">
        <v>1</v>
      </c>
      <c r="AU30" s="42">
        <f t="shared" si="2"/>
        <v>0</v>
      </c>
      <c r="AV30" s="318">
        <v>0</v>
      </c>
      <c r="AW30" s="318">
        <v>21</v>
      </c>
      <c r="AX30" s="315"/>
      <c r="AY30" s="636" t="s">
        <v>2040</v>
      </c>
      <c r="AZ30" s="319" t="s">
        <v>163</v>
      </c>
      <c r="BA30" s="319" t="s">
        <v>2041</v>
      </c>
      <c r="BB30" s="318">
        <v>0</v>
      </c>
      <c r="BC30" s="9"/>
      <c r="BD30" s="9"/>
      <c r="BE30" s="50">
        <f t="shared" si="3"/>
        <v>0</v>
      </c>
      <c r="BF30" s="50">
        <f t="shared" si="4"/>
        <v>0</v>
      </c>
      <c r="BG30" s="50">
        <f t="shared" si="5"/>
        <v>0</v>
      </c>
      <c r="BH30" s="50">
        <f t="shared" si="6"/>
        <v>0</v>
      </c>
      <c r="BI30" s="50">
        <f t="shared" si="7"/>
        <v>0</v>
      </c>
      <c r="BJ30" s="50">
        <f t="shared" si="8"/>
        <v>0</v>
      </c>
      <c r="BK30" s="50">
        <f t="shared" si="9"/>
        <v>0</v>
      </c>
      <c r="BL30" s="50">
        <f t="shared" si="10"/>
        <v>0</v>
      </c>
      <c r="BM30" s="50">
        <f t="shared" si="11"/>
        <v>0</v>
      </c>
      <c r="BN30" s="50">
        <f t="shared" si="12"/>
        <v>0</v>
      </c>
      <c r="BO30" s="50">
        <f t="shared" si="13"/>
        <v>0</v>
      </c>
      <c r="BP30" s="50">
        <f t="shared" si="14"/>
        <v>0</v>
      </c>
      <c r="BQ30" s="4" t="str">
        <f t="shared" si="15"/>
        <v>17,42 2025.01.01</v>
      </c>
      <c r="BR30" s="4" t="str">
        <f t="shared" si="16"/>
        <v>17,42 2025.01.01</v>
      </c>
      <c r="BS30" s="4" t="str">
        <f t="shared" si="17"/>
        <v>В</v>
      </c>
      <c r="BT30" s="10">
        <f t="shared" si="18"/>
        <v>0</v>
      </c>
      <c r="BU30" s="42">
        <f t="shared" si="19"/>
        <v>1</v>
      </c>
      <c r="BV30" s="11">
        <f t="shared" si="20"/>
        <v>0</v>
      </c>
      <c r="BW30" s="11">
        <f t="shared" si="21"/>
        <v>0</v>
      </c>
      <c r="BX30" s="11">
        <f t="shared" si="22"/>
        <v>1</v>
      </c>
      <c r="BY30" s="11">
        <f t="shared" si="23"/>
        <v>0</v>
      </c>
      <c r="BZ30" s="11">
        <f t="shared" si="24"/>
        <v>0</v>
      </c>
      <c r="CA30" s="11">
        <f t="shared" si="25"/>
        <v>1</v>
      </c>
      <c r="CB30" s="42">
        <f t="shared" si="26"/>
        <v>0</v>
      </c>
      <c r="CC30" s="11">
        <f t="shared" si="27"/>
        <v>0</v>
      </c>
      <c r="CD30" s="11">
        <f t="shared" si="28"/>
        <v>0</v>
      </c>
      <c r="CE30" s="4"/>
      <c r="CF30" s="50">
        <f t="shared" si="29"/>
        <v>0</v>
      </c>
      <c r="CG30" s="50">
        <f t="shared" si="30"/>
        <v>0</v>
      </c>
      <c r="CH30" s="50">
        <f t="shared" si="31"/>
        <v>0</v>
      </c>
      <c r="CI30" s="50">
        <f t="shared" si="32"/>
        <v>0</v>
      </c>
      <c r="CJ30" s="50">
        <f t="shared" si="33"/>
        <v>0</v>
      </c>
      <c r="CK30" s="50">
        <f t="shared" si="34"/>
        <v>0</v>
      </c>
      <c r="CL30" s="50">
        <f t="shared" si="35"/>
        <v>0</v>
      </c>
      <c r="CM30" s="50">
        <f t="shared" si="36"/>
        <v>0</v>
      </c>
      <c r="CN30" s="50">
        <f t="shared" si="37"/>
        <v>0</v>
      </c>
      <c r="CO30" s="50">
        <f t="shared" si="38"/>
        <v>0</v>
      </c>
      <c r="CP30" s="50">
        <f t="shared" si="39"/>
        <v>0</v>
      </c>
      <c r="CQ30" s="50">
        <f t="shared" si="40"/>
        <v>0</v>
      </c>
      <c r="CR30"/>
    </row>
    <row r="31" spans="2:96" s="320" customFormat="1" ht="15.75" customHeight="1" x14ac:dyDescent="0.15">
      <c r="B31" s="59"/>
      <c r="D31" s="130">
        <v>21</v>
      </c>
      <c r="AA31" s="28" t="s">
        <v>701</v>
      </c>
      <c r="AB31" s="31" t="s">
        <v>727</v>
      </c>
      <c r="AC31" s="247" t="s">
        <v>1435</v>
      </c>
      <c r="AD31" s="314" t="s">
        <v>110</v>
      </c>
      <c r="AE31" s="315" t="s">
        <v>1436</v>
      </c>
      <c r="AF31" s="316" t="s">
        <v>1432</v>
      </c>
      <c r="AG31" s="248" t="s">
        <v>1437</v>
      </c>
      <c r="AH31" s="248" t="s">
        <v>1438</v>
      </c>
      <c r="AI31" s="248" t="s">
        <v>100</v>
      </c>
      <c r="AJ31" s="317">
        <v>5.0000000000582103</v>
      </c>
      <c r="AK31" s="315" t="s">
        <v>1439</v>
      </c>
      <c r="AL31" s="315">
        <v>0</v>
      </c>
      <c r="AM31" s="315">
        <v>0</v>
      </c>
      <c r="AN31" s="42">
        <f t="shared" si="1"/>
        <v>1</v>
      </c>
      <c r="AO31" s="318">
        <v>0</v>
      </c>
      <c r="AP31" s="318">
        <v>0</v>
      </c>
      <c r="AQ31" s="318">
        <v>1</v>
      </c>
      <c r="AR31" s="318">
        <v>0</v>
      </c>
      <c r="AS31" s="318">
        <v>0</v>
      </c>
      <c r="AT31" s="318">
        <v>1</v>
      </c>
      <c r="AU31" s="42">
        <f t="shared" si="2"/>
        <v>0</v>
      </c>
      <c r="AV31" s="318">
        <v>0</v>
      </c>
      <c r="AW31" s="318">
        <v>320</v>
      </c>
      <c r="AX31" s="315"/>
      <c r="AY31" s="636"/>
      <c r="AZ31" s="319"/>
      <c r="BA31" s="319"/>
      <c r="BB31" s="318">
        <v>1</v>
      </c>
      <c r="BC31" s="9"/>
      <c r="BD31" s="9"/>
      <c r="BE31" s="50">
        <f t="shared" si="3"/>
        <v>0</v>
      </c>
      <c r="BF31" s="50">
        <f t="shared" si="4"/>
        <v>0</v>
      </c>
      <c r="BG31" s="50">
        <f t="shared" si="5"/>
        <v>5.0000000000582103</v>
      </c>
      <c r="BH31" s="50">
        <f t="shared" si="6"/>
        <v>1</v>
      </c>
      <c r="BI31" s="50">
        <f t="shared" si="7"/>
        <v>0</v>
      </c>
      <c r="BJ31" s="50">
        <f t="shared" si="8"/>
        <v>0</v>
      </c>
      <c r="BK31" s="50">
        <f t="shared" si="9"/>
        <v>0</v>
      </c>
      <c r="BL31" s="50">
        <f t="shared" si="10"/>
        <v>0</v>
      </c>
      <c r="BM31" s="50">
        <f t="shared" si="11"/>
        <v>5.0000000000582103</v>
      </c>
      <c r="BN31" s="50">
        <f t="shared" si="12"/>
        <v>1</v>
      </c>
      <c r="BO31" s="50">
        <f t="shared" si="13"/>
        <v>0</v>
      </c>
      <c r="BP31" s="50">
        <f t="shared" si="14"/>
        <v>0</v>
      </c>
      <c r="BQ31" s="4" t="str">
        <f t="shared" si="15"/>
        <v>13,00 2025.01.02</v>
      </c>
      <c r="BR31" s="4" t="str">
        <f t="shared" si="16"/>
        <v>18,00 2025.01.02</v>
      </c>
      <c r="BS31" s="4" t="str">
        <f t="shared" si="17"/>
        <v>П</v>
      </c>
      <c r="BT31" s="10">
        <f t="shared" si="18"/>
        <v>5.0000000000582103</v>
      </c>
      <c r="BU31" s="42">
        <f t="shared" si="19"/>
        <v>1</v>
      </c>
      <c r="BV31" s="11">
        <f t="shared" si="20"/>
        <v>0</v>
      </c>
      <c r="BW31" s="11">
        <f t="shared" si="21"/>
        <v>0</v>
      </c>
      <c r="BX31" s="11">
        <f t="shared" si="22"/>
        <v>1</v>
      </c>
      <c r="BY31" s="11">
        <f t="shared" si="23"/>
        <v>0</v>
      </c>
      <c r="BZ31" s="11">
        <f t="shared" si="24"/>
        <v>0</v>
      </c>
      <c r="CA31" s="11">
        <f t="shared" si="25"/>
        <v>1</v>
      </c>
      <c r="CB31" s="42">
        <f t="shared" si="26"/>
        <v>0</v>
      </c>
      <c r="CC31" s="11">
        <f t="shared" si="27"/>
        <v>0</v>
      </c>
      <c r="CD31" s="11">
        <f t="shared" si="28"/>
        <v>1</v>
      </c>
      <c r="CE31" s="4"/>
      <c r="CF31" s="50">
        <f t="shared" si="29"/>
        <v>0</v>
      </c>
      <c r="CG31" s="50">
        <f t="shared" si="30"/>
        <v>0</v>
      </c>
      <c r="CH31" s="50">
        <f t="shared" si="31"/>
        <v>5.0000000000582103</v>
      </c>
      <c r="CI31" s="50">
        <f t="shared" si="32"/>
        <v>1</v>
      </c>
      <c r="CJ31" s="50">
        <f t="shared" si="33"/>
        <v>0</v>
      </c>
      <c r="CK31" s="50">
        <f t="shared" si="34"/>
        <v>0</v>
      </c>
      <c r="CL31" s="50">
        <f t="shared" si="35"/>
        <v>0</v>
      </c>
      <c r="CM31" s="50">
        <f t="shared" si="36"/>
        <v>0</v>
      </c>
      <c r="CN31" s="50">
        <f t="shared" si="37"/>
        <v>5.0000000000582103</v>
      </c>
      <c r="CO31" s="50">
        <f t="shared" si="38"/>
        <v>1</v>
      </c>
      <c r="CP31" s="50">
        <f t="shared" si="39"/>
        <v>0</v>
      </c>
      <c r="CQ31" s="50">
        <f t="shared" si="40"/>
        <v>0</v>
      </c>
      <c r="CR31"/>
    </row>
    <row r="32" spans="2:96" s="321" customFormat="1" ht="15.75" customHeight="1" x14ac:dyDescent="0.15">
      <c r="B32" s="59"/>
      <c r="D32" s="130">
        <v>21</v>
      </c>
      <c r="AA32" s="28" t="s">
        <v>701</v>
      </c>
      <c r="AB32" s="31" t="s">
        <v>769</v>
      </c>
      <c r="AC32" s="247" t="s">
        <v>1440</v>
      </c>
      <c r="AD32" s="314" t="s">
        <v>110</v>
      </c>
      <c r="AE32" s="315" t="s">
        <v>1441</v>
      </c>
      <c r="AF32" s="316" t="s">
        <v>1432</v>
      </c>
      <c r="AG32" s="248" t="s">
        <v>1442</v>
      </c>
      <c r="AH32" s="248" t="s">
        <v>1443</v>
      </c>
      <c r="AI32" s="248" t="s">
        <v>100</v>
      </c>
      <c r="AJ32" s="317">
        <v>2.1000000000349202</v>
      </c>
      <c r="AK32" s="315" t="s">
        <v>1444</v>
      </c>
      <c r="AL32" s="315">
        <v>0</v>
      </c>
      <c r="AM32" s="315">
        <v>0</v>
      </c>
      <c r="AN32" s="42">
        <f t="shared" si="1"/>
        <v>1</v>
      </c>
      <c r="AO32" s="318">
        <v>0</v>
      </c>
      <c r="AP32" s="318">
        <v>0</v>
      </c>
      <c r="AQ32" s="318">
        <v>1</v>
      </c>
      <c r="AR32" s="318">
        <v>0</v>
      </c>
      <c r="AS32" s="318">
        <v>0</v>
      </c>
      <c r="AT32" s="318">
        <v>1</v>
      </c>
      <c r="AU32" s="42">
        <f t="shared" si="2"/>
        <v>0</v>
      </c>
      <c r="AV32" s="318">
        <v>0</v>
      </c>
      <c r="AW32" s="318">
        <v>50</v>
      </c>
      <c r="AX32" s="315"/>
      <c r="AY32" s="636"/>
      <c r="AZ32" s="319"/>
      <c r="BA32" s="319"/>
      <c r="BB32" s="318">
        <v>1</v>
      </c>
      <c r="BC32" s="9"/>
      <c r="BD32" s="9"/>
      <c r="BE32" s="50">
        <f t="shared" si="3"/>
        <v>0</v>
      </c>
      <c r="BF32" s="50">
        <f t="shared" si="4"/>
        <v>0</v>
      </c>
      <c r="BG32" s="50">
        <f t="shared" si="5"/>
        <v>2.1000000000349202</v>
      </c>
      <c r="BH32" s="50">
        <f t="shared" si="6"/>
        <v>1</v>
      </c>
      <c r="BI32" s="50">
        <f t="shared" si="7"/>
        <v>0</v>
      </c>
      <c r="BJ32" s="50">
        <f t="shared" si="8"/>
        <v>0</v>
      </c>
      <c r="BK32" s="50">
        <f t="shared" si="9"/>
        <v>0</v>
      </c>
      <c r="BL32" s="50">
        <f t="shared" si="10"/>
        <v>0</v>
      </c>
      <c r="BM32" s="50">
        <f t="shared" si="11"/>
        <v>2.1000000000349202</v>
      </c>
      <c r="BN32" s="50">
        <f t="shared" si="12"/>
        <v>1</v>
      </c>
      <c r="BO32" s="50">
        <f t="shared" si="13"/>
        <v>0</v>
      </c>
      <c r="BP32" s="50">
        <f t="shared" si="14"/>
        <v>0</v>
      </c>
      <c r="BQ32" s="4" t="str">
        <f t="shared" si="15"/>
        <v>16,03 2025.01.09</v>
      </c>
      <c r="BR32" s="4" t="str">
        <f t="shared" si="16"/>
        <v>18,09 2025.01.09</v>
      </c>
      <c r="BS32" s="4" t="str">
        <f t="shared" si="17"/>
        <v>П</v>
      </c>
      <c r="BT32" s="10">
        <f t="shared" si="18"/>
        <v>2.1000000000349202</v>
      </c>
      <c r="BU32" s="42">
        <f t="shared" si="19"/>
        <v>1</v>
      </c>
      <c r="BV32" s="11">
        <f t="shared" si="20"/>
        <v>0</v>
      </c>
      <c r="BW32" s="11">
        <f t="shared" si="21"/>
        <v>0</v>
      </c>
      <c r="BX32" s="11">
        <f t="shared" si="22"/>
        <v>1</v>
      </c>
      <c r="BY32" s="11">
        <f t="shared" si="23"/>
        <v>0</v>
      </c>
      <c r="BZ32" s="11">
        <f t="shared" si="24"/>
        <v>0</v>
      </c>
      <c r="CA32" s="11">
        <f t="shared" si="25"/>
        <v>1</v>
      </c>
      <c r="CB32" s="42">
        <f t="shared" si="26"/>
        <v>0</v>
      </c>
      <c r="CC32" s="11">
        <f t="shared" si="27"/>
        <v>0</v>
      </c>
      <c r="CD32" s="11">
        <f t="shared" si="28"/>
        <v>1</v>
      </c>
      <c r="CE32" s="4"/>
      <c r="CF32" s="50">
        <f t="shared" si="29"/>
        <v>0</v>
      </c>
      <c r="CG32" s="50">
        <f t="shared" si="30"/>
        <v>0</v>
      </c>
      <c r="CH32" s="50">
        <f t="shared" si="31"/>
        <v>2.1000000000349202</v>
      </c>
      <c r="CI32" s="50">
        <f t="shared" si="32"/>
        <v>1</v>
      </c>
      <c r="CJ32" s="50">
        <f t="shared" si="33"/>
        <v>0</v>
      </c>
      <c r="CK32" s="50">
        <f t="shared" si="34"/>
        <v>0</v>
      </c>
      <c r="CL32" s="50">
        <f t="shared" si="35"/>
        <v>0</v>
      </c>
      <c r="CM32" s="50">
        <f t="shared" si="36"/>
        <v>0</v>
      </c>
      <c r="CN32" s="50">
        <f t="shared" si="37"/>
        <v>2.1000000000349202</v>
      </c>
      <c r="CO32" s="50">
        <f t="shared" si="38"/>
        <v>1</v>
      </c>
      <c r="CP32" s="50">
        <f t="shared" si="39"/>
        <v>0</v>
      </c>
      <c r="CQ32" s="50">
        <f t="shared" si="40"/>
        <v>0</v>
      </c>
      <c r="CR32"/>
    </row>
    <row r="33" spans="2:96" s="322" customFormat="1" ht="15.75" customHeight="1" x14ac:dyDescent="0.15">
      <c r="B33" s="59"/>
      <c r="D33" s="130">
        <v>21</v>
      </c>
      <c r="AA33" s="28" t="s">
        <v>701</v>
      </c>
      <c r="AB33" s="31" t="s">
        <v>832</v>
      </c>
      <c r="AC33" s="247" t="s">
        <v>1445</v>
      </c>
      <c r="AD33" s="314" t="s">
        <v>110</v>
      </c>
      <c r="AE33" s="315" t="s">
        <v>1446</v>
      </c>
      <c r="AF33" s="316" t="s">
        <v>1432</v>
      </c>
      <c r="AG33" s="248" t="s">
        <v>1447</v>
      </c>
      <c r="AH33" s="248" t="s">
        <v>1448</v>
      </c>
      <c r="AI33" s="248" t="s">
        <v>100</v>
      </c>
      <c r="AJ33" s="317">
        <v>0.61666666675591797</v>
      </c>
      <c r="AK33" s="315" t="s">
        <v>1449</v>
      </c>
      <c r="AL33" s="315">
        <v>0</v>
      </c>
      <c r="AM33" s="315">
        <v>0</v>
      </c>
      <c r="AN33" s="42">
        <f t="shared" si="1"/>
        <v>2</v>
      </c>
      <c r="AO33" s="318">
        <v>0</v>
      </c>
      <c r="AP33" s="318">
        <v>0</v>
      </c>
      <c r="AQ33" s="318">
        <v>2</v>
      </c>
      <c r="AR33" s="318">
        <v>0</v>
      </c>
      <c r="AS33" s="318">
        <v>0</v>
      </c>
      <c r="AT33" s="318">
        <v>2</v>
      </c>
      <c r="AU33" s="42">
        <f t="shared" si="2"/>
        <v>0</v>
      </c>
      <c r="AV33" s="318">
        <v>0</v>
      </c>
      <c r="AW33" s="318">
        <v>1500</v>
      </c>
      <c r="AX33" s="315"/>
      <c r="AY33" s="636"/>
      <c r="AZ33" s="319"/>
      <c r="BA33" s="319"/>
      <c r="BB33" s="318">
        <v>1</v>
      </c>
      <c r="BC33" s="9"/>
      <c r="BD33" s="9"/>
      <c r="BE33" s="50">
        <f t="shared" si="3"/>
        <v>0</v>
      </c>
      <c r="BF33" s="50">
        <f t="shared" si="4"/>
        <v>0</v>
      </c>
      <c r="BG33" s="50">
        <f t="shared" si="5"/>
        <v>1.2333333335118359</v>
      </c>
      <c r="BH33" s="50">
        <f t="shared" si="6"/>
        <v>2</v>
      </c>
      <c r="BI33" s="50">
        <f t="shared" si="7"/>
        <v>0</v>
      </c>
      <c r="BJ33" s="50">
        <f t="shared" si="8"/>
        <v>0</v>
      </c>
      <c r="BK33" s="50">
        <f t="shared" si="9"/>
        <v>0</v>
      </c>
      <c r="BL33" s="50">
        <f t="shared" si="10"/>
        <v>0</v>
      </c>
      <c r="BM33" s="50">
        <f t="shared" si="11"/>
        <v>1.2333333335118359</v>
      </c>
      <c r="BN33" s="50">
        <f t="shared" si="12"/>
        <v>2</v>
      </c>
      <c r="BO33" s="50">
        <f t="shared" si="13"/>
        <v>0</v>
      </c>
      <c r="BP33" s="50">
        <f t="shared" si="14"/>
        <v>0</v>
      </c>
      <c r="BQ33" s="4" t="str">
        <f t="shared" si="15"/>
        <v>16,20 2025.01.13</v>
      </c>
      <c r="BR33" s="4" t="str">
        <f t="shared" si="16"/>
        <v>16,57 2025.01.13</v>
      </c>
      <c r="BS33" s="4" t="str">
        <f t="shared" si="17"/>
        <v>П</v>
      </c>
      <c r="BT33" s="10">
        <f t="shared" si="18"/>
        <v>0.61666666675591797</v>
      </c>
      <c r="BU33" s="42">
        <f t="shared" si="19"/>
        <v>2</v>
      </c>
      <c r="BV33" s="11">
        <f t="shared" si="20"/>
        <v>0</v>
      </c>
      <c r="BW33" s="11">
        <f t="shared" si="21"/>
        <v>0</v>
      </c>
      <c r="BX33" s="11">
        <f t="shared" si="22"/>
        <v>2</v>
      </c>
      <c r="BY33" s="11">
        <f t="shared" si="23"/>
        <v>0</v>
      </c>
      <c r="BZ33" s="11">
        <f t="shared" si="24"/>
        <v>0</v>
      </c>
      <c r="CA33" s="11">
        <f t="shared" si="25"/>
        <v>2</v>
      </c>
      <c r="CB33" s="42">
        <f t="shared" si="26"/>
        <v>0</v>
      </c>
      <c r="CC33" s="11">
        <f t="shared" si="27"/>
        <v>0</v>
      </c>
      <c r="CD33" s="11">
        <f t="shared" si="28"/>
        <v>1</v>
      </c>
      <c r="CE33" s="4"/>
      <c r="CF33" s="50">
        <f t="shared" si="29"/>
        <v>0</v>
      </c>
      <c r="CG33" s="50">
        <f t="shared" si="30"/>
        <v>0</v>
      </c>
      <c r="CH33" s="50">
        <f t="shared" si="31"/>
        <v>1.2333333335118359</v>
      </c>
      <c r="CI33" s="50">
        <f t="shared" si="32"/>
        <v>2</v>
      </c>
      <c r="CJ33" s="50">
        <f t="shared" si="33"/>
        <v>0</v>
      </c>
      <c r="CK33" s="50">
        <f t="shared" si="34"/>
        <v>0</v>
      </c>
      <c r="CL33" s="50">
        <f t="shared" si="35"/>
        <v>0</v>
      </c>
      <c r="CM33" s="50">
        <f t="shared" si="36"/>
        <v>0</v>
      </c>
      <c r="CN33" s="50">
        <f t="shared" si="37"/>
        <v>1.2333333335118359</v>
      </c>
      <c r="CO33" s="50">
        <f t="shared" si="38"/>
        <v>2</v>
      </c>
      <c r="CP33" s="50">
        <f t="shared" si="39"/>
        <v>0</v>
      </c>
      <c r="CQ33" s="50">
        <f t="shared" si="40"/>
        <v>0</v>
      </c>
      <c r="CR33"/>
    </row>
    <row r="34" spans="2:96" s="323" customFormat="1" ht="15.75" customHeight="1" x14ac:dyDescent="0.15">
      <c r="B34" s="59"/>
      <c r="D34" s="130">
        <v>21</v>
      </c>
      <c r="AA34" s="28" t="s">
        <v>701</v>
      </c>
      <c r="AB34" s="31" t="s">
        <v>907</v>
      </c>
      <c r="AC34" s="247" t="s">
        <v>1440</v>
      </c>
      <c r="AD34" s="314" t="s">
        <v>110</v>
      </c>
      <c r="AE34" s="315" t="s">
        <v>1450</v>
      </c>
      <c r="AF34" s="316" t="s">
        <v>1432</v>
      </c>
      <c r="AG34" s="248" t="s">
        <v>1451</v>
      </c>
      <c r="AH34" s="248" t="s">
        <v>1452</v>
      </c>
      <c r="AI34" s="248" t="s">
        <v>100</v>
      </c>
      <c r="AJ34" s="317">
        <v>2.15000000002328</v>
      </c>
      <c r="AK34" s="315" t="s">
        <v>1453</v>
      </c>
      <c r="AL34" s="315">
        <v>0</v>
      </c>
      <c r="AM34" s="315">
        <v>0</v>
      </c>
      <c r="AN34" s="42">
        <f t="shared" si="1"/>
        <v>1</v>
      </c>
      <c r="AO34" s="318">
        <v>0</v>
      </c>
      <c r="AP34" s="318">
        <v>0</v>
      </c>
      <c r="AQ34" s="318">
        <v>1</v>
      </c>
      <c r="AR34" s="318">
        <v>0</v>
      </c>
      <c r="AS34" s="318">
        <v>0</v>
      </c>
      <c r="AT34" s="318">
        <v>1</v>
      </c>
      <c r="AU34" s="42">
        <f t="shared" si="2"/>
        <v>0</v>
      </c>
      <c r="AV34" s="318">
        <v>0</v>
      </c>
      <c r="AW34" s="318">
        <v>400</v>
      </c>
      <c r="AX34" s="315"/>
      <c r="AY34" s="636"/>
      <c r="AZ34" s="319"/>
      <c r="BA34" s="319"/>
      <c r="BB34" s="318">
        <v>1</v>
      </c>
      <c r="BC34" s="9"/>
      <c r="BD34" s="9"/>
      <c r="BE34" s="50">
        <f t="shared" si="3"/>
        <v>0</v>
      </c>
      <c r="BF34" s="50">
        <f t="shared" si="4"/>
        <v>0</v>
      </c>
      <c r="BG34" s="50">
        <f t="shared" si="5"/>
        <v>2.15000000002328</v>
      </c>
      <c r="BH34" s="50">
        <f t="shared" si="6"/>
        <v>1</v>
      </c>
      <c r="BI34" s="50">
        <f t="shared" si="7"/>
        <v>0</v>
      </c>
      <c r="BJ34" s="50">
        <f t="shared" si="8"/>
        <v>0</v>
      </c>
      <c r="BK34" s="50">
        <f t="shared" si="9"/>
        <v>0</v>
      </c>
      <c r="BL34" s="50">
        <f t="shared" si="10"/>
        <v>0</v>
      </c>
      <c r="BM34" s="50">
        <f t="shared" si="11"/>
        <v>2.15000000002328</v>
      </c>
      <c r="BN34" s="50">
        <f t="shared" si="12"/>
        <v>1</v>
      </c>
      <c r="BO34" s="50">
        <f t="shared" si="13"/>
        <v>0</v>
      </c>
      <c r="BP34" s="50">
        <f t="shared" si="14"/>
        <v>0</v>
      </c>
      <c r="BQ34" s="4" t="str">
        <f t="shared" si="15"/>
        <v>11,32 2025.01.14</v>
      </c>
      <c r="BR34" s="4" t="str">
        <f t="shared" si="16"/>
        <v>13,41 2025.01.14</v>
      </c>
      <c r="BS34" s="4" t="str">
        <f t="shared" si="17"/>
        <v>П</v>
      </c>
      <c r="BT34" s="10">
        <f t="shared" si="18"/>
        <v>2.15000000002328</v>
      </c>
      <c r="BU34" s="42">
        <f t="shared" si="19"/>
        <v>1</v>
      </c>
      <c r="BV34" s="11">
        <f t="shared" si="20"/>
        <v>0</v>
      </c>
      <c r="BW34" s="11">
        <f t="shared" si="21"/>
        <v>0</v>
      </c>
      <c r="BX34" s="11">
        <f t="shared" si="22"/>
        <v>1</v>
      </c>
      <c r="BY34" s="11">
        <f t="shared" si="23"/>
        <v>0</v>
      </c>
      <c r="BZ34" s="11">
        <f t="shared" si="24"/>
        <v>0</v>
      </c>
      <c r="CA34" s="11">
        <f t="shared" si="25"/>
        <v>1</v>
      </c>
      <c r="CB34" s="42">
        <f t="shared" si="26"/>
        <v>0</v>
      </c>
      <c r="CC34" s="11">
        <f t="shared" si="27"/>
        <v>0</v>
      </c>
      <c r="CD34" s="11">
        <f t="shared" si="28"/>
        <v>1</v>
      </c>
      <c r="CE34" s="4"/>
      <c r="CF34" s="50">
        <f t="shared" si="29"/>
        <v>0</v>
      </c>
      <c r="CG34" s="50">
        <f t="shared" si="30"/>
        <v>0</v>
      </c>
      <c r="CH34" s="50">
        <f t="shared" si="31"/>
        <v>2.15000000002328</v>
      </c>
      <c r="CI34" s="50">
        <f t="shared" si="32"/>
        <v>1</v>
      </c>
      <c r="CJ34" s="50">
        <f t="shared" si="33"/>
        <v>0</v>
      </c>
      <c r="CK34" s="50">
        <f t="shared" si="34"/>
        <v>0</v>
      </c>
      <c r="CL34" s="50">
        <f t="shared" si="35"/>
        <v>0</v>
      </c>
      <c r="CM34" s="50">
        <f t="shared" si="36"/>
        <v>0</v>
      </c>
      <c r="CN34" s="50">
        <f t="shared" si="37"/>
        <v>2.15000000002328</v>
      </c>
      <c r="CO34" s="50">
        <f t="shared" si="38"/>
        <v>1</v>
      </c>
      <c r="CP34" s="50">
        <f t="shared" si="39"/>
        <v>0</v>
      </c>
      <c r="CQ34" s="50">
        <f t="shared" si="40"/>
        <v>0</v>
      </c>
      <c r="CR34"/>
    </row>
    <row r="35" spans="2:96" s="324" customFormat="1" ht="15.75" customHeight="1" x14ac:dyDescent="0.15">
      <c r="B35" s="59"/>
      <c r="D35" s="130">
        <v>21</v>
      </c>
      <c r="AA35" s="28" t="s">
        <v>701</v>
      </c>
      <c r="AB35" s="31" t="s">
        <v>908</v>
      </c>
      <c r="AC35" s="247" t="s">
        <v>1435</v>
      </c>
      <c r="AD35" s="314" t="s">
        <v>110</v>
      </c>
      <c r="AE35" s="315" t="s">
        <v>1454</v>
      </c>
      <c r="AF35" s="316" t="s">
        <v>1432</v>
      </c>
      <c r="AG35" s="248" t="s">
        <v>1455</v>
      </c>
      <c r="AH35" s="248" t="s">
        <v>1456</v>
      </c>
      <c r="AI35" s="248" t="s">
        <v>100</v>
      </c>
      <c r="AJ35" s="317">
        <v>4.0833333333721402</v>
      </c>
      <c r="AK35" s="315" t="s">
        <v>1457</v>
      </c>
      <c r="AL35" s="315">
        <v>0</v>
      </c>
      <c r="AM35" s="315">
        <v>0</v>
      </c>
      <c r="AN35" s="42">
        <f t="shared" si="1"/>
        <v>1</v>
      </c>
      <c r="AO35" s="318">
        <v>0</v>
      </c>
      <c r="AP35" s="318">
        <v>0</v>
      </c>
      <c r="AQ35" s="318">
        <v>1</v>
      </c>
      <c r="AR35" s="318">
        <v>0</v>
      </c>
      <c r="AS35" s="318">
        <v>0</v>
      </c>
      <c r="AT35" s="318">
        <v>1</v>
      </c>
      <c r="AU35" s="42">
        <f t="shared" si="2"/>
        <v>0</v>
      </c>
      <c r="AV35" s="318">
        <v>0</v>
      </c>
      <c r="AW35" s="318">
        <v>210</v>
      </c>
      <c r="AX35" s="315"/>
      <c r="AY35" s="636"/>
      <c r="AZ35" s="319"/>
      <c r="BA35" s="319"/>
      <c r="BB35" s="318">
        <v>1</v>
      </c>
      <c r="BC35" s="9"/>
      <c r="BD35" s="9"/>
      <c r="BE35" s="50">
        <f t="shared" si="3"/>
        <v>0</v>
      </c>
      <c r="BF35" s="50">
        <f t="shared" si="4"/>
        <v>0</v>
      </c>
      <c r="BG35" s="50">
        <f t="shared" si="5"/>
        <v>4.0833333333721402</v>
      </c>
      <c r="BH35" s="50">
        <f t="shared" si="6"/>
        <v>1</v>
      </c>
      <c r="BI35" s="50">
        <f t="shared" si="7"/>
        <v>0</v>
      </c>
      <c r="BJ35" s="50">
        <f t="shared" si="8"/>
        <v>0</v>
      </c>
      <c r="BK35" s="50">
        <f t="shared" si="9"/>
        <v>0</v>
      </c>
      <c r="BL35" s="50">
        <f t="shared" si="10"/>
        <v>0</v>
      </c>
      <c r="BM35" s="50">
        <f t="shared" si="11"/>
        <v>4.0833333333721402</v>
      </c>
      <c r="BN35" s="50">
        <f t="shared" si="12"/>
        <v>1</v>
      </c>
      <c r="BO35" s="50">
        <f t="shared" si="13"/>
        <v>0</v>
      </c>
      <c r="BP35" s="50">
        <f t="shared" si="14"/>
        <v>0</v>
      </c>
      <c r="BQ35" s="4" t="str">
        <f t="shared" si="15"/>
        <v>12,05 2025.01.16</v>
      </c>
      <c r="BR35" s="4" t="str">
        <f t="shared" si="16"/>
        <v>16,10 2025.01.16</v>
      </c>
      <c r="BS35" s="4" t="str">
        <f t="shared" si="17"/>
        <v>П</v>
      </c>
      <c r="BT35" s="10">
        <f t="shared" si="18"/>
        <v>4.0833333333721402</v>
      </c>
      <c r="BU35" s="42">
        <f t="shared" si="19"/>
        <v>1</v>
      </c>
      <c r="BV35" s="11">
        <f t="shared" si="20"/>
        <v>0</v>
      </c>
      <c r="BW35" s="11">
        <f t="shared" si="21"/>
        <v>0</v>
      </c>
      <c r="BX35" s="11">
        <f t="shared" si="22"/>
        <v>1</v>
      </c>
      <c r="BY35" s="11">
        <f t="shared" si="23"/>
        <v>0</v>
      </c>
      <c r="BZ35" s="11">
        <f t="shared" si="24"/>
        <v>0</v>
      </c>
      <c r="CA35" s="11">
        <f t="shared" si="25"/>
        <v>1</v>
      </c>
      <c r="CB35" s="42">
        <f t="shared" si="26"/>
        <v>0</v>
      </c>
      <c r="CC35" s="11">
        <f t="shared" si="27"/>
        <v>0</v>
      </c>
      <c r="CD35" s="11">
        <f t="shared" si="28"/>
        <v>1</v>
      </c>
      <c r="CE35" s="4"/>
      <c r="CF35" s="50">
        <f t="shared" si="29"/>
        <v>0</v>
      </c>
      <c r="CG35" s="50">
        <f t="shared" si="30"/>
        <v>0</v>
      </c>
      <c r="CH35" s="50">
        <f t="shared" si="31"/>
        <v>4.0833333333721402</v>
      </c>
      <c r="CI35" s="50">
        <f t="shared" si="32"/>
        <v>1</v>
      </c>
      <c r="CJ35" s="50">
        <f t="shared" si="33"/>
        <v>0</v>
      </c>
      <c r="CK35" s="50">
        <f t="shared" si="34"/>
        <v>0</v>
      </c>
      <c r="CL35" s="50">
        <f t="shared" si="35"/>
        <v>0</v>
      </c>
      <c r="CM35" s="50">
        <f t="shared" si="36"/>
        <v>0</v>
      </c>
      <c r="CN35" s="50">
        <f t="shared" si="37"/>
        <v>4.0833333333721402</v>
      </c>
      <c r="CO35" s="50">
        <f t="shared" si="38"/>
        <v>1</v>
      </c>
      <c r="CP35" s="50">
        <f t="shared" si="39"/>
        <v>0</v>
      </c>
      <c r="CQ35" s="50">
        <f t="shared" si="40"/>
        <v>0</v>
      </c>
      <c r="CR35"/>
    </row>
    <row r="36" spans="2:96" s="325" customFormat="1" ht="15.75" customHeight="1" x14ac:dyDescent="0.15">
      <c r="B36" s="59"/>
      <c r="D36" s="130">
        <v>21</v>
      </c>
      <c r="AA36" s="28" t="s">
        <v>701</v>
      </c>
      <c r="AB36" s="31" t="s">
        <v>909</v>
      </c>
      <c r="AC36" s="247" t="s">
        <v>1440</v>
      </c>
      <c r="AD36" s="314" t="s">
        <v>110</v>
      </c>
      <c r="AE36" s="315" t="s">
        <v>1458</v>
      </c>
      <c r="AF36" s="316" t="s">
        <v>1432</v>
      </c>
      <c r="AG36" s="248" t="s">
        <v>1459</v>
      </c>
      <c r="AH36" s="248" t="s">
        <v>1460</v>
      </c>
      <c r="AI36" s="248" t="s">
        <v>100</v>
      </c>
      <c r="AJ36" s="317">
        <v>2.3833333334187001</v>
      </c>
      <c r="AK36" s="315" t="s">
        <v>1461</v>
      </c>
      <c r="AL36" s="315">
        <v>0</v>
      </c>
      <c r="AM36" s="315">
        <v>0</v>
      </c>
      <c r="AN36" s="42">
        <f t="shared" si="1"/>
        <v>1</v>
      </c>
      <c r="AO36" s="318">
        <v>0</v>
      </c>
      <c r="AP36" s="318">
        <v>0</v>
      </c>
      <c r="AQ36" s="318">
        <v>1</v>
      </c>
      <c r="AR36" s="318">
        <v>0</v>
      </c>
      <c r="AS36" s="318">
        <v>0</v>
      </c>
      <c r="AT36" s="318">
        <v>1</v>
      </c>
      <c r="AU36" s="42">
        <f t="shared" si="2"/>
        <v>0</v>
      </c>
      <c r="AV36" s="318">
        <v>0</v>
      </c>
      <c r="AW36" s="318">
        <v>30</v>
      </c>
      <c r="AX36" s="315"/>
      <c r="AY36" s="636"/>
      <c r="AZ36" s="319"/>
      <c r="BA36" s="319"/>
      <c r="BB36" s="318">
        <v>1</v>
      </c>
      <c r="BC36" s="9"/>
      <c r="BD36" s="9"/>
      <c r="BE36" s="50">
        <f t="shared" si="3"/>
        <v>0</v>
      </c>
      <c r="BF36" s="50">
        <f t="shared" si="4"/>
        <v>0</v>
      </c>
      <c r="BG36" s="50">
        <f t="shared" si="5"/>
        <v>2.3833333334187001</v>
      </c>
      <c r="BH36" s="50">
        <f t="shared" si="6"/>
        <v>1</v>
      </c>
      <c r="BI36" s="50">
        <f t="shared" si="7"/>
        <v>0</v>
      </c>
      <c r="BJ36" s="50">
        <f t="shared" si="8"/>
        <v>0</v>
      </c>
      <c r="BK36" s="50">
        <f t="shared" si="9"/>
        <v>0</v>
      </c>
      <c r="BL36" s="50">
        <f t="shared" si="10"/>
        <v>0</v>
      </c>
      <c r="BM36" s="50">
        <f t="shared" si="11"/>
        <v>2.3833333334187001</v>
      </c>
      <c r="BN36" s="50">
        <f t="shared" si="12"/>
        <v>1</v>
      </c>
      <c r="BO36" s="50">
        <f t="shared" si="13"/>
        <v>0</v>
      </c>
      <c r="BP36" s="50">
        <f t="shared" si="14"/>
        <v>0</v>
      </c>
      <c r="BQ36" s="4" t="str">
        <f t="shared" si="15"/>
        <v>11,31 2025.01.23</v>
      </c>
      <c r="BR36" s="4" t="str">
        <f t="shared" si="16"/>
        <v>13,54 2025.01.23</v>
      </c>
      <c r="BS36" s="4" t="str">
        <f t="shared" si="17"/>
        <v>П</v>
      </c>
      <c r="BT36" s="10">
        <f t="shared" si="18"/>
        <v>2.3833333334187001</v>
      </c>
      <c r="BU36" s="42">
        <f t="shared" si="19"/>
        <v>1</v>
      </c>
      <c r="BV36" s="11">
        <f t="shared" si="20"/>
        <v>0</v>
      </c>
      <c r="BW36" s="11">
        <f t="shared" si="21"/>
        <v>0</v>
      </c>
      <c r="BX36" s="11">
        <f t="shared" si="22"/>
        <v>1</v>
      </c>
      <c r="BY36" s="11">
        <f t="shared" si="23"/>
        <v>0</v>
      </c>
      <c r="BZ36" s="11">
        <f t="shared" si="24"/>
        <v>0</v>
      </c>
      <c r="CA36" s="11">
        <f t="shared" si="25"/>
        <v>1</v>
      </c>
      <c r="CB36" s="42">
        <f t="shared" si="26"/>
        <v>0</v>
      </c>
      <c r="CC36" s="11">
        <f t="shared" si="27"/>
        <v>0</v>
      </c>
      <c r="CD36" s="11">
        <f t="shared" si="28"/>
        <v>1</v>
      </c>
      <c r="CE36" s="4"/>
      <c r="CF36" s="50">
        <f t="shared" si="29"/>
        <v>0</v>
      </c>
      <c r="CG36" s="50">
        <f t="shared" si="30"/>
        <v>0</v>
      </c>
      <c r="CH36" s="50">
        <f t="shared" si="31"/>
        <v>2.3833333334187001</v>
      </c>
      <c r="CI36" s="50">
        <f t="shared" si="32"/>
        <v>1</v>
      </c>
      <c r="CJ36" s="50">
        <f t="shared" si="33"/>
        <v>0</v>
      </c>
      <c r="CK36" s="50">
        <f t="shared" si="34"/>
        <v>0</v>
      </c>
      <c r="CL36" s="50">
        <f t="shared" si="35"/>
        <v>0</v>
      </c>
      <c r="CM36" s="50">
        <f t="shared" si="36"/>
        <v>0</v>
      </c>
      <c r="CN36" s="50">
        <f t="shared" si="37"/>
        <v>2.3833333334187001</v>
      </c>
      <c r="CO36" s="50">
        <f t="shared" si="38"/>
        <v>1</v>
      </c>
      <c r="CP36" s="50">
        <f t="shared" si="39"/>
        <v>0</v>
      </c>
      <c r="CQ36" s="50">
        <f t="shared" si="40"/>
        <v>0</v>
      </c>
      <c r="CR36"/>
    </row>
    <row r="37" spans="2:96" s="326" customFormat="1" ht="15.75" customHeight="1" x14ac:dyDescent="0.15">
      <c r="B37" s="59"/>
      <c r="D37" s="130">
        <v>21</v>
      </c>
      <c r="AA37" s="28" t="s">
        <v>701</v>
      </c>
      <c r="AB37" s="31" t="s">
        <v>910</v>
      </c>
      <c r="AC37" s="247" t="s">
        <v>1440</v>
      </c>
      <c r="AD37" s="314" t="s">
        <v>110</v>
      </c>
      <c r="AE37" s="315" t="s">
        <v>1462</v>
      </c>
      <c r="AF37" s="316" t="s">
        <v>1432</v>
      </c>
      <c r="AG37" s="248" t="s">
        <v>1463</v>
      </c>
      <c r="AH37" s="248" t="s">
        <v>1463</v>
      </c>
      <c r="AI37" s="248" t="s">
        <v>122</v>
      </c>
      <c r="AJ37" s="317">
        <v>0</v>
      </c>
      <c r="AK37" s="315" t="s">
        <v>1464</v>
      </c>
      <c r="AL37" s="315">
        <v>0</v>
      </c>
      <c r="AM37" s="315">
        <v>0</v>
      </c>
      <c r="AN37" s="42">
        <f t="shared" si="1"/>
        <v>1</v>
      </c>
      <c r="AO37" s="318">
        <v>0</v>
      </c>
      <c r="AP37" s="318">
        <v>0</v>
      </c>
      <c r="AQ37" s="318">
        <v>1</v>
      </c>
      <c r="AR37" s="318">
        <v>0</v>
      </c>
      <c r="AS37" s="318">
        <v>0</v>
      </c>
      <c r="AT37" s="318">
        <v>1</v>
      </c>
      <c r="AU37" s="42">
        <f t="shared" si="2"/>
        <v>0</v>
      </c>
      <c r="AV37" s="318">
        <v>0</v>
      </c>
      <c r="AW37" s="318">
        <v>373</v>
      </c>
      <c r="AX37" s="315"/>
      <c r="AY37" s="636" t="s">
        <v>2042</v>
      </c>
      <c r="AZ37" s="319" t="s">
        <v>179</v>
      </c>
      <c r="BA37" s="319" t="s">
        <v>2041</v>
      </c>
      <c r="BB37" s="318">
        <v>0</v>
      </c>
      <c r="BC37" s="9"/>
      <c r="BD37" s="9"/>
      <c r="BE37" s="50">
        <f t="shared" si="3"/>
        <v>0</v>
      </c>
      <c r="BF37" s="50">
        <f t="shared" si="4"/>
        <v>0</v>
      </c>
      <c r="BG37" s="50">
        <f t="shared" si="5"/>
        <v>0</v>
      </c>
      <c r="BH37" s="50">
        <f t="shared" si="6"/>
        <v>0</v>
      </c>
      <c r="BI37" s="50">
        <f t="shared" si="7"/>
        <v>0</v>
      </c>
      <c r="BJ37" s="50">
        <f t="shared" si="8"/>
        <v>0</v>
      </c>
      <c r="BK37" s="50">
        <f t="shared" si="9"/>
        <v>0</v>
      </c>
      <c r="BL37" s="50">
        <f t="shared" si="10"/>
        <v>0</v>
      </c>
      <c r="BM37" s="50">
        <f t="shared" si="11"/>
        <v>0</v>
      </c>
      <c r="BN37" s="50">
        <f t="shared" si="12"/>
        <v>0</v>
      </c>
      <c r="BO37" s="50">
        <f t="shared" si="13"/>
        <v>0</v>
      </c>
      <c r="BP37" s="50">
        <f t="shared" si="14"/>
        <v>0</v>
      </c>
      <c r="BQ37" s="4" t="str">
        <f t="shared" si="15"/>
        <v>17,54 2025.01.25</v>
      </c>
      <c r="BR37" s="4" t="str">
        <f t="shared" si="16"/>
        <v>17,54 2025.01.25</v>
      </c>
      <c r="BS37" s="4" t="str">
        <f t="shared" si="17"/>
        <v>В</v>
      </c>
      <c r="BT37" s="10">
        <f t="shared" si="18"/>
        <v>0</v>
      </c>
      <c r="BU37" s="42">
        <f t="shared" si="19"/>
        <v>1</v>
      </c>
      <c r="BV37" s="11">
        <f t="shared" si="20"/>
        <v>0</v>
      </c>
      <c r="BW37" s="11">
        <f t="shared" si="21"/>
        <v>0</v>
      </c>
      <c r="BX37" s="11">
        <f t="shared" si="22"/>
        <v>1</v>
      </c>
      <c r="BY37" s="11">
        <f t="shared" si="23"/>
        <v>0</v>
      </c>
      <c r="BZ37" s="11">
        <f t="shared" si="24"/>
        <v>0</v>
      </c>
      <c r="CA37" s="11">
        <f t="shared" si="25"/>
        <v>1</v>
      </c>
      <c r="CB37" s="42">
        <f t="shared" si="26"/>
        <v>0</v>
      </c>
      <c r="CC37" s="11">
        <f t="shared" si="27"/>
        <v>0</v>
      </c>
      <c r="CD37" s="11">
        <f t="shared" si="28"/>
        <v>0</v>
      </c>
      <c r="CE37" s="4"/>
      <c r="CF37" s="50">
        <f t="shared" si="29"/>
        <v>0</v>
      </c>
      <c r="CG37" s="50">
        <f t="shared" si="30"/>
        <v>0</v>
      </c>
      <c r="CH37" s="50">
        <f t="shared" si="31"/>
        <v>0</v>
      </c>
      <c r="CI37" s="50">
        <f t="shared" si="32"/>
        <v>0</v>
      </c>
      <c r="CJ37" s="50">
        <f t="shared" si="33"/>
        <v>0</v>
      </c>
      <c r="CK37" s="50">
        <f t="shared" si="34"/>
        <v>0</v>
      </c>
      <c r="CL37" s="50">
        <f t="shared" si="35"/>
        <v>0</v>
      </c>
      <c r="CM37" s="50">
        <f t="shared" si="36"/>
        <v>0</v>
      </c>
      <c r="CN37" s="50">
        <f t="shared" si="37"/>
        <v>0</v>
      </c>
      <c r="CO37" s="50">
        <f t="shared" si="38"/>
        <v>0</v>
      </c>
      <c r="CP37" s="50">
        <f t="shared" si="39"/>
        <v>0</v>
      </c>
      <c r="CQ37" s="50">
        <f t="shared" si="40"/>
        <v>0</v>
      </c>
      <c r="CR37"/>
    </row>
    <row r="38" spans="2:96" s="327" customFormat="1" ht="15.75" customHeight="1" x14ac:dyDescent="0.15">
      <c r="B38" s="59"/>
      <c r="D38" s="130">
        <v>21</v>
      </c>
      <c r="AA38" s="28" t="s">
        <v>701</v>
      </c>
      <c r="AB38" s="31" t="s">
        <v>911</v>
      </c>
      <c r="AC38" s="247" t="s">
        <v>1440</v>
      </c>
      <c r="AD38" s="314" t="s">
        <v>110</v>
      </c>
      <c r="AE38" s="315" t="s">
        <v>1465</v>
      </c>
      <c r="AF38" s="316" t="s">
        <v>1432</v>
      </c>
      <c r="AG38" s="248" t="s">
        <v>1466</v>
      </c>
      <c r="AH38" s="248" t="s">
        <v>1467</v>
      </c>
      <c r="AI38" s="248" t="s">
        <v>122</v>
      </c>
      <c r="AJ38" s="317">
        <v>3.3333333441987599E-2</v>
      </c>
      <c r="AK38" s="315" t="s">
        <v>1468</v>
      </c>
      <c r="AL38" s="315">
        <v>0</v>
      </c>
      <c r="AM38" s="315">
        <v>0</v>
      </c>
      <c r="AN38" s="42">
        <f t="shared" si="1"/>
        <v>2</v>
      </c>
      <c r="AO38" s="318">
        <v>0</v>
      </c>
      <c r="AP38" s="318">
        <v>0</v>
      </c>
      <c r="AQ38" s="318">
        <v>2</v>
      </c>
      <c r="AR38" s="318">
        <v>0</v>
      </c>
      <c r="AS38" s="318">
        <v>0</v>
      </c>
      <c r="AT38" s="318">
        <v>2</v>
      </c>
      <c r="AU38" s="42">
        <f t="shared" si="2"/>
        <v>0</v>
      </c>
      <c r="AV38" s="318">
        <v>0</v>
      </c>
      <c r="AW38" s="318">
        <v>809</v>
      </c>
      <c r="AX38" s="315"/>
      <c r="AY38" s="636" t="s">
        <v>2043</v>
      </c>
      <c r="AZ38" s="319" t="s">
        <v>190</v>
      </c>
      <c r="BA38" s="319" t="s">
        <v>2041</v>
      </c>
      <c r="BB38" s="318">
        <v>0</v>
      </c>
      <c r="BC38" s="9"/>
      <c r="BD38" s="9"/>
      <c r="BE38" s="50">
        <f t="shared" si="3"/>
        <v>0</v>
      </c>
      <c r="BF38" s="50">
        <f t="shared" si="4"/>
        <v>0</v>
      </c>
      <c r="BG38" s="50">
        <f t="shared" si="5"/>
        <v>0</v>
      </c>
      <c r="BH38" s="50">
        <f t="shared" si="6"/>
        <v>0</v>
      </c>
      <c r="BI38" s="50">
        <f t="shared" si="7"/>
        <v>0</v>
      </c>
      <c r="BJ38" s="50">
        <f t="shared" si="8"/>
        <v>0</v>
      </c>
      <c r="BK38" s="50">
        <f t="shared" si="9"/>
        <v>0</v>
      </c>
      <c r="BL38" s="50">
        <f t="shared" si="10"/>
        <v>0</v>
      </c>
      <c r="BM38" s="50">
        <f t="shared" si="11"/>
        <v>0</v>
      </c>
      <c r="BN38" s="50">
        <f t="shared" si="12"/>
        <v>0</v>
      </c>
      <c r="BO38" s="50">
        <f t="shared" si="13"/>
        <v>0</v>
      </c>
      <c r="BP38" s="50">
        <f t="shared" si="14"/>
        <v>0</v>
      </c>
      <c r="BQ38" s="4" t="str">
        <f t="shared" si="15"/>
        <v>07,23 2025.01.28</v>
      </c>
      <c r="BR38" s="4" t="str">
        <f t="shared" si="16"/>
        <v>07,25 2025.01.28</v>
      </c>
      <c r="BS38" s="4" t="str">
        <f t="shared" si="17"/>
        <v>В</v>
      </c>
      <c r="BT38" s="10">
        <f t="shared" si="18"/>
        <v>3.3333333441987599E-2</v>
      </c>
      <c r="BU38" s="42">
        <f t="shared" si="19"/>
        <v>2</v>
      </c>
      <c r="BV38" s="11">
        <f t="shared" si="20"/>
        <v>0</v>
      </c>
      <c r="BW38" s="11">
        <f t="shared" si="21"/>
        <v>0</v>
      </c>
      <c r="BX38" s="11">
        <f t="shared" si="22"/>
        <v>2</v>
      </c>
      <c r="BY38" s="11">
        <f t="shared" si="23"/>
        <v>0</v>
      </c>
      <c r="BZ38" s="11">
        <f t="shared" si="24"/>
        <v>0</v>
      </c>
      <c r="CA38" s="11">
        <f t="shared" si="25"/>
        <v>2</v>
      </c>
      <c r="CB38" s="42">
        <f t="shared" si="26"/>
        <v>0</v>
      </c>
      <c r="CC38" s="11">
        <f t="shared" si="27"/>
        <v>0</v>
      </c>
      <c r="CD38" s="11">
        <f t="shared" si="28"/>
        <v>0</v>
      </c>
      <c r="CE38" s="4"/>
      <c r="CF38" s="50">
        <f t="shared" si="29"/>
        <v>0</v>
      </c>
      <c r="CG38" s="50">
        <f t="shared" si="30"/>
        <v>0</v>
      </c>
      <c r="CH38" s="50">
        <f t="shared" si="31"/>
        <v>0</v>
      </c>
      <c r="CI38" s="50">
        <f t="shared" si="32"/>
        <v>0</v>
      </c>
      <c r="CJ38" s="50">
        <f t="shared" si="33"/>
        <v>0</v>
      </c>
      <c r="CK38" s="50">
        <f t="shared" si="34"/>
        <v>0</v>
      </c>
      <c r="CL38" s="50">
        <f t="shared" si="35"/>
        <v>0</v>
      </c>
      <c r="CM38" s="50">
        <f t="shared" si="36"/>
        <v>0</v>
      </c>
      <c r="CN38" s="50">
        <f t="shared" si="37"/>
        <v>0</v>
      </c>
      <c r="CO38" s="50">
        <f t="shared" si="38"/>
        <v>0</v>
      </c>
      <c r="CP38" s="50">
        <f t="shared" si="39"/>
        <v>0</v>
      </c>
      <c r="CQ38" s="50">
        <f t="shared" si="40"/>
        <v>0</v>
      </c>
      <c r="CR38"/>
    </row>
    <row r="39" spans="2:96" s="328" customFormat="1" ht="15.75" customHeight="1" x14ac:dyDescent="0.15">
      <c r="B39" s="59"/>
      <c r="D39" s="130">
        <v>21</v>
      </c>
      <c r="AA39" s="28" t="s">
        <v>701</v>
      </c>
      <c r="AB39" s="31" t="s">
        <v>912</v>
      </c>
      <c r="AC39" s="247" t="s">
        <v>1469</v>
      </c>
      <c r="AD39" s="314" t="s">
        <v>110</v>
      </c>
      <c r="AE39" s="315" t="s">
        <v>1470</v>
      </c>
      <c r="AF39" s="316" t="s">
        <v>1471</v>
      </c>
      <c r="AG39" s="248" t="s">
        <v>1472</v>
      </c>
      <c r="AH39" s="248" t="s">
        <v>1472</v>
      </c>
      <c r="AI39" s="248" t="s">
        <v>122</v>
      </c>
      <c r="AJ39" s="317">
        <v>0</v>
      </c>
      <c r="AK39" s="315" t="s">
        <v>1473</v>
      </c>
      <c r="AL39" s="315">
        <v>0</v>
      </c>
      <c r="AM39" s="315">
        <v>6</v>
      </c>
      <c r="AN39" s="42">
        <f t="shared" si="1"/>
        <v>27</v>
      </c>
      <c r="AO39" s="318">
        <v>0</v>
      </c>
      <c r="AP39" s="318">
        <v>6</v>
      </c>
      <c r="AQ39" s="318">
        <v>21</v>
      </c>
      <c r="AR39" s="318">
        <v>1</v>
      </c>
      <c r="AS39" s="318">
        <v>0</v>
      </c>
      <c r="AT39" s="318">
        <v>24</v>
      </c>
      <c r="AU39" s="42">
        <f t="shared" si="2"/>
        <v>2</v>
      </c>
      <c r="AV39" s="318">
        <v>0</v>
      </c>
      <c r="AW39" s="318">
        <v>17000</v>
      </c>
      <c r="AX39" s="315"/>
      <c r="AY39" s="636" t="s">
        <v>2044</v>
      </c>
      <c r="AZ39" s="319" t="s">
        <v>207</v>
      </c>
      <c r="BA39" s="319" t="s">
        <v>2041</v>
      </c>
      <c r="BB39" s="318">
        <v>0</v>
      </c>
      <c r="BC39" s="9"/>
      <c r="BD39" s="9"/>
      <c r="BE39" s="50">
        <f t="shared" si="3"/>
        <v>0</v>
      </c>
      <c r="BF39" s="50">
        <f t="shared" si="4"/>
        <v>0</v>
      </c>
      <c r="BG39" s="50">
        <f t="shared" si="5"/>
        <v>0</v>
      </c>
      <c r="BH39" s="50">
        <f t="shared" si="6"/>
        <v>0</v>
      </c>
      <c r="BI39" s="50">
        <f t="shared" si="7"/>
        <v>0</v>
      </c>
      <c r="BJ39" s="50">
        <f t="shared" si="8"/>
        <v>0</v>
      </c>
      <c r="BK39" s="50">
        <f t="shared" si="9"/>
        <v>0</v>
      </c>
      <c r="BL39" s="50">
        <f t="shared" si="10"/>
        <v>0</v>
      </c>
      <c r="BM39" s="50">
        <f t="shared" si="11"/>
        <v>0</v>
      </c>
      <c r="BN39" s="50">
        <f t="shared" si="12"/>
        <v>0</v>
      </c>
      <c r="BO39" s="50">
        <f t="shared" si="13"/>
        <v>0</v>
      </c>
      <c r="BP39" s="50">
        <f t="shared" si="14"/>
        <v>0</v>
      </c>
      <c r="BQ39" s="4" t="str">
        <f t="shared" si="15"/>
        <v>16,14 2025.01.28</v>
      </c>
      <c r="BR39" s="4" t="str">
        <f t="shared" si="16"/>
        <v>16,14 2025.01.28</v>
      </c>
      <c r="BS39" s="4" t="str">
        <f t="shared" si="17"/>
        <v>В</v>
      </c>
      <c r="BT39" s="10">
        <f t="shared" si="18"/>
        <v>0</v>
      </c>
      <c r="BU39" s="42">
        <f t="shared" si="19"/>
        <v>27</v>
      </c>
      <c r="BV39" s="11">
        <f t="shared" si="20"/>
        <v>0</v>
      </c>
      <c r="BW39" s="11">
        <f t="shared" si="21"/>
        <v>6</v>
      </c>
      <c r="BX39" s="11">
        <f t="shared" si="22"/>
        <v>21</v>
      </c>
      <c r="BY39" s="11">
        <f t="shared" si="23"/>
        <v>1</v>
      </c>
      <c r="BZ39" s="11">
        <f t="shared" si="24"/>
        <v>0</v>
      </c>
      <c r="CA39" s="11">
        <f t="shared" si="25"/>
        <v>24</v>
      </c>
      <c r="CB39" s="42">
        <f t="shared" si="26"/>
        <v>2</v>
      </c>
      <c r="CC39" s="11">
        <f t="shared" si="27"/>
        <v>0</v>
      </c>
      <c r="CD39" s="11">
        <f t="shared" si="28"/>
        <v>0</v>
      </c>
      <c r="CE39" s="4"/>
      <c r="CF39" s="50">
        <f t="shared" si="29"/>
        <v>0</v>
      </c>
      <c r="CG39" s="50">
        <f t="shared" si="30"/>
        <v>0</v>
      </c>
      <c r="CH39" s="50">
        <f t="shared" si="31"/>
        <v>0</v>
      </c>
      <c r="CI39" s="50">
        <f t="shared" si="32"/>
        <v>0</v>
      </c>
      <c r="CJ39" s="50">
        <f t="shared" si="33"/>
        <v>0</v>
      </c>
      <c r="CK39" s="50">
        <f t="shared" si="34"/>
        <v>0</v>
      </c>
      <c r="CL39" s="50">
        <f t="shared" si="35"/>
        <v>0</v>
      </c>
      <c r="CM39" s="50">
        <f t="shared" si="36"/>
        <v>0</v>
      </c>
      <c r="CN39" s="50">
        <f t="shared" si="37"/>
        <v>0</v>
      </c>
      <c r="CO39" s="50">
        <f t="shared" si="38"/>
        <v>0</v>
      </c>
      <c r="CP39" s="50">
        <f t="shared" si="39"/>
        <v>0</v>
      </c>
      <c r="CQ39" s="50">
        <f t="shared" si="40"/>
        <v>0</v>
      </c>
      <c r="CR39"/>
    </row>
    <row r="40" spans="2:96" s="329" customFormat="1" ht="15.75" customHeight="1" x14ac:dyDescent="0.15">
      <c r="B40" s="59"/>
      <c r="D40" s="130">
        <v>21</v>
      </c>
      <c r="AA40" s="28" t="s">
        <v>701</v>
      </c>
      <c r="AB40" s="31" t="s">
        <v>913</v>
      </c>
      <c r="AC40" s="247" t="s">
        <v>1440</v>
      </c>
      <c r="AD40" s="314" t="s">
        <v>110</v>
      </c>
      <c r="AE40" s="315" t="s">
        <v>1465</v>
      </c>
      <c r="AF40" s="316" t="s">
        <v>1432</v>
      </c>
      <c r="AG40" s="248" t="s">
        <v>1474</v>
      </c>
      <c r="AH40" s="248" t="s">
        <v>1475</v>
      </c>
      <c r="AI40" s="248" t="s">
        <v>100</v>
      </c>
      <c r="AJ40" s="317">
        <v>2.8666666665812999</v>
      </c>
      <c r="AK40" s="315" t="s">
        <v>1468</v>
      </c>
      <c r="AL40" s="315">
        <v>0</v>
      </c>
      <c r="AM40" s="315">
        <v>0</v>
      </c>
      <c r="AN40" s="42">
        <f t="shared" si="1"/>
        <v>1</v>
      </c>
      <c r="AO40" s="318">
        <v>0</v>
      </c>
      <c r="AP40" s="318">
        <v>0</v>
      </c>
      <c r="AQ40" s="318">
        <v>1</v>
      </c>
      <c r="AR40" s="318">
        <v>0</v>
      </c>
      <c r="AS40" s="318">
        <v>0</v>
      </c>
      <c r="AT40" s="318">
        <v>1</v>
      </c>
      <c r="AU40" s="42">
        <f t="shared" si="2"/>
        <v>0</v>
      </c>
      <c r="AV40" s="318">
        <v>0</v>
      </c>
      <c r="AW40" s="318">
        <v>520</v>
      </c>
      <c r="AX40" s="315"/>
      <c r="AY40" s="636"/>
      <c r="AZ40" s="319"/>
      <c r="BA40" s="319"/>
      <c r="BB40" s="318">
        <v>1</v>
      </c>
      <c r="BC40" s="9"/>
      <c r="BD40" s="9"/>
      <c r="BE40" s="50">
        <f t="shared" si="3"/>
        <v>0</v>
      </c>
      <c r="BF40" s="50">
        <f t="shared" si="4"/>
        <v>0</v>
      </c>
      <c r="BG40" s="50">
        <f t="shared" si="5"/>
        <v>2.8666666665812999</v>
      </c>
      <c r="BH40" s="50">
        <f t="shared" si="6"/>
        <v>1</v>
      </c>
      <c r="BI40" s="50">
        <f t="shared" si="7"/>
        <v>0</v>
      </c>
      <c r="BJ40" s="50">
        <f t="shared" si="8"/>
        <v>0</v>
      </c>
      <c r="BK40" s="50">
        <f t="shared" si="9"/>
        <v>0</v>
      </c>
      <c r="BL40" s="50">
        <f t="shared" si="10"/>
        <v>0</v>
      </c>
      <c r="BM40" s="50">
        <f t="shared" si="11"/>
        <v>2.8666666665812999</v>
      </c>
      <c r="BN40" s="50">
        <f t="shared" si="12"/>
        <v>1</v>
      </c>
      <c r="BO40" s="50">
        <f t="shared" si="13"/>
        <v>0</v>
      </c>
      <c r="BP40" s="50">
        <f t="shared" si="14"/>
        <v>0</v>
      </c>
      <c r="BQ40" s="4" t="str">
        <f t="shared" si="15"/>
        <v>12,40 2025.01.29</v>
      </c>
      <c r="BR40" s="4" t="str">
        <f t="shared" si="16"/>
        <v>15,32 2025.01.29</v>
      </c>
      <c r="BS40" s="4" t="str">
        <f t="shared" si="17"/>
        <v>П</v>
      </c>
      <c r="BT40" s="10">
        <f t="shared" si="18"/>
        <v>2.8666666665812999</v>
      </c>
      <c r="BU40" s="42">
        <f t="shared" si="19"/>
        <v>1</v>
      </c>
      <c r="BV40" s="11">
        <f t="shared" si="20"/>
        <v>0</v>
      </c>
      <c r="BW40" s="11">
        <f t="shared" si="21"/>
        <v>0</v>
      </c>
      <c r="BX40" s="11">
        <f t="shared" si="22"/>
        <v>1</v>
      </c>
      <c r="BY40" s="11">
        <f t="shared" si="23"/>
        <v>0</v>
      </c>
      <c r="BZ40" s="11">
        <f t="shared" si="24"/>
        <v>0</v>
      </c>
      <c r="CA40" s="11">
        <f t="shared" si="25"/>
        <v>1</v>
      </c>
      <c r="CB40" s="42">
        <f t="shared" si="26"/>
        <v>0</v>
      </c>
      <c r="CC40" s="11">
        <f t="shared" si="27"/>
        <v>0</v>
      </c>
      <c r="CD40" s="11">
        <f t="shared" si="28"/>
        <v>1</v>
      </c>
      <c r="CE40" s="4"/>
      <c r="CF40" s="50">
        <f t="shared" si="29"/>
        <v>0</v>
      </c>
      <c r="CG40" s="50">
        <f t="shared" si="30"/>
        <v>0</v>
      </c>
      <c r="CH40" s="50">
        <f t="shared" si="31"/>
        <v>2.8666666665812999</v>
      </c>
      <c r="CI40" s="50">
        <f t="shared" si="32"/>
        <v>1</v>
      </c>
      <c r="CJ40" s="50">
        <f t="shared" si="33"/>
        <v>0</v>
      </c>
      <c r="CK40" s="50">
        <f t="shared" si="34"/>
        <v>0</v>
      </c>
      <c r="CL40" s="50">
        <f t="shared" si="35"/>
        <v>0</v>
      </c>
      <c r="CM40" s="50">
        <f t="shared" si="36"/>
        <v>0</v>
      </c>
      <c r="CN40" s="50">
        <f t="shared" si="37"/>
        <v>2.8666666665812999</v>
      </c>
      <c r="CO40" s="50">
        <f t="shared" si="38"/>
        <v>1</v>
      </c>
      <c r="CP40" s="50">
        <f t="shared" si="39"/>
        <v>0</v>
      </c>
      <c r="CQ40" s="50">
        <f t="shared" si="40"/>
        <v>0</v>
      </c>
      <c r="CR40"/>
    </row>
    <row r="41" spans="2:96" s="330" customFormat="1" ht="15.75" customHeight="1" x14ac:dyDescent="0.15">
      <c r="B41" s="59"/>
      <c r="D41" s="130">
        <v>21</v>
      </c>
      <c r="AA41" s="28" t="s">
        <v>701</v>
      </c>
      <c r="AB41" s="31" t="s">
        <v>914</v>
      </c>
      <c r="AC41" s="247" t="s">
        <v>1445</v>
      </c>
      <c r="AD41" s="314" t="s">
        <v>110</v>
      </c>
      <c r="AE41" s="315" t="s">
        <v>1476</v>
      </c>
      <c r="AF41" s="316" t="s">
        <v>1432</v>
      </c>
      <c r="AG41" s="248" t="s">
        <v>1477</v>
      </c>
      <c r="AH41" s="248" t="s">
        <v>1477</v>
      </c>
      <c r="AI41" s="248" t="s">
        <v>122</v>
      </c>
      <c r="AJ41" s="317">
        <v>0</v>
      </c>
      <c r="AK41" s="315" t="s">
        <v>1478</v>
      </c>
      <c r="AL41" s="315">
        <v>0</v>
      </c>
      <c r="AM41" s="315">
        <v>0</v>
      </c>
      <c r="AN41" s="42">
        <f t="shared" si="1"/>
        <v>3</v>
      </c>
      <c r="AO41" s="318">
        <v>0</v>
      </c>
      <c r="AP41" s="318">
        <v>0</v>
      </c>
      <c r="AQ41" s="318">
        <v>3</v>
      </c>
      <c r="AR41" s="318">
        <v>0</v>
      </c>
      <c r="AS41" s="318">
        <v>0</v>
      </c>
      <c r="AT41" s="318">
        <v>1</v>
      </c>
      <c r="AU41" s="42">
        <f t="shared" si="2"/>
        <v>2</v>
      </c>
      <c r="AV41" s="318">
        <v>0</v>
      </c>
      <c r="AW41" s="318">
        <v>408</v>
      </c>
      <c r="AX41" s="315"/>
      <c r="AY41" s="636" t="s">
        <v>2045</v>
      </c>
      <c r="AZ41" s="319" t="s">
        <v>201</v>
      </c>
      <c r="BA41" s="319" t="s">
        <v>2041</v>
      </c>
      <c r="BB41" s="318">
        <v>0</v>
      </c>
      <c r="BC41" s="9"/>
      <c r="BD41" s="9"/>
      <c r="BE41" s="50">
        <f t="shared" si="3"/>
        <v>0</v>
      </c>
      <c r="BF41" s="50">
        <f t="shared" si="4"/>
        <v>0</v>
      </c>
      <c r="BG41" s="50">
        <f t="shared" si="5"/>
        <v>0</v>
      </c>
      <c r="BH41" s="50">
        <f t="shared" si="6"/>
        <v>0</v>
      </c>
      <c r="BI41" s="50">
        <f t="shared" si="7"/>
        <v>0</v>
      </c>
      <c r="BJ41" s="50">
        <f t="shared" si="8"/>
        <v>0</v>
      </c>
      <c r="BK41" s="50">
        <f t="shared" si="9"/>
        <v>0</v>
      </c>
      <c r="BL41" s="50">
        <f t="shared" si="10"/>
        <v>0</v>
      </c>
      <c r="BM41" s="50">
        <f t="shared" si="11"/>
        <v>0</v>
      </c>
      <c r="BN41" s="50">
        <f t="shared" si="12"/>
        <v>0</v>
      </c>
      <c r="BO41" s="50">
        <f t="shared" si="13"/>
        <v>0</v>
      </c>
      <c r="BP41" s="50">
        <f t="shared" si="14"/>
        <v>0</v>
      </c>
      <c r="BQ41" s="4" t="str">
        <f t="shared" si="15"/>
        <v>11,59 2025.02.05</v>
      </c>
      <c r="BR41" s="4" t="str">
        <f t="shared" si="16"/>
        <v>11,59 2025.02.05</v>
      </c>
      <c r="BS41" s="4" t="str">
        <f t="shared" si="17"/>
        <v>В</v>
      </c>
      <c r="BT41" s="10">
        <f t="shared" si="18"/>
        <v>0</v>
      </c>
      <c r="BU41" s="42">
        <f t="shared" si="19"/>
        <v>3</v>
      </c>
      <c r="BV41" s="11">
        <f t="shared" si="20"/>
        <v>0</v>
      </c>
      <c r="BW41" s="11">
        <f t="shared" si="21"/>
        <v>0</v>
      </c>
      <c r="BX41" s="11">
        <f t="shared" si="22"/>
        <v>3</v>
      </c>
      <c r="BY41" s="11">
        <f t="shared" si="23"/>
        <v>0</v>
      </c>
      <c r="BZ41" s="11">
        <f t="shared" si="24"/>
        <v>0</v>
      </c>
      <c r="CA41" s="11">
        <f t="shared" si="25"/>
        <v>1</v>
      </c>
      <c r="CB41" s="42">
        <f t="shared" si="26"/>
        <v>2</v>
      </c>
      <c r="CC41" s="11">
        <f t="shared" si="27"/>
        <v>0</v>
      </c>
      <c r="CD41" s="11">
        <f t="shared" si="28"/>
        <v>0</v>
      </c>
      <c r="CE41" s="4"/>
      <c r="CF41" s="50">
        <f t="shared" si="29"/>
        <v>0</v>
      </c>
      <c r="CG41" s="50">
        <f t="shared" si="30"/>
        <v>0</v>
      </c>
      <c r="CH41" s="50">
        <f t="shared" si="31"/>
        <v>0</v>
      </c>
      <c r="CI41" s="50">
        <f t="shared" si="32"/>
        <v>0</v>
      </c>
      <c r="CJ41" s="50">
        <f t="shared" si="33"/>
        <v>0</v>
      </c>
      <c r="CK41" s="50">
        <f t="shared" si="34"/>
        <v>0</v>
      </c>
      <c r="CL41" s="50">
        <f t="shared" si="35"/>
        <v>0</v>
      </c>
      <c r="CM41" s="50">
        <f t="shared" si="36"/>
        <v>0</v>
      </c>
      <c r="CN41" s="50">
        <f t="shared" si="37"/>
        <v>0</v>
      </c>
      <c r="CO41" s="50">
        <f t="shared" si="38"/>
        <v>0</v>
      </c>
      <c r="CP41" s="50">
        <f t="shared" si="39"/>
        <v>0</v>
      </c>
      <c r="CQ41" s="50">
        <f t="shared" si="40"/>
        <v>0</v>
      </c>
      <c r="CR41"/>
    </row>
    <row r="42" spans="2:96" s="331" customFormat="1" ht="15.75" customHeight="1" x14ac:dyDescent="0.15">
      <c r="B42" s="59"/>
      <c r="D42" s="130">
        <v>21</v>
      </c>
      <c r="AA42" s="28" t="s">
        <v>701</v>
      </c>
      <c r="AB42" s="31" t="s">
        <v>915</v>
      </c>
      <c r="AC42" s="247" t="s">
        <v>1430</v>
      </c>
      <c r="AD42" s="314" t="s">
        <v>110</v>
      </c>
      <c r="AE42" s="315" t="s">
        <v>1479</v>
      </c>
      <c r="AF42" s="316" t="s">
        <v>1432</v>
      </c>
      <c r="AG42" s="248" t="s">
        <v>1480</v>
      </c>
      <c r="AH42" s="248" t="s">
        <v>1481</v>
      </c>
      <c r="AI42" s="248" t="s">
        <v>100</v>
      </c>
      <c r="AJ42" s="317">
        <v>3</v>
      </c>
      <c r="AK42" s="315" t="s">
        <v>1482</v>
      </c>
      <c r="AL42" s="315">
        <v>0</v>
      </c>
      <c r="AM42" s="315">
        <v>0</v>
      </c>
      <c r="AN42" s="42">
        <f t="shared" si="1"/>
        <v>1</v>
      </c>
      <c r="AO42" s="318">
        <v>0</v>
      </c>
      <c r="AP42" s="318">
        <v>0</v>
      </c>
      <c r="AQ42" s="318">
        <v>1</v>
      </c>
      <c r="AR42" s="318">
        <v>0</v>
      </c>
      <c r="AS42" s="318">
        <v>0</v>
      </c>
      <c r="AT42" s="318">
        <v>1</v>
      </c>
      <c r="AU42" s="42">
        <f t="shared" si="2"/>
        <v>0</v>
      </c>
      <c r="AV42" s="318">
        <v>0</v>
      </c>
      <c r="AW42" s="318">
        <v>640</v>
      </c>
      <c r="AX42" s="315"/>
      <c r="AY42" s="636"/>
      <c r="AZ42" s="319"/>
      <c r="BA42" s="319"/>
      <c r="BB42" s="318">
        <v>1</v>
      </c>
      <c r="BC42" s="9"/>
      <c r="BD42" s="9"/>
      <c r="BE42" s="50">
        <f t="shared" si="3"/>
        <v>0</v>
      </c>
      <c r="BF42" s="50">
        <f t="shared" si="4"/>
        <v>0</v>
      </c>
      <c r="BG42" s="50">
        <f t="shared" si="5"/>
        <v>3</v>
      </c>
      <c r="BH42" s="50">
        <f t="shared" si="6"/>
        <v>1</v>
      </c>
      <c r="BI42" s="50">
        <f t="shared" si="7"/>
        <v>0</v>
      </c>
      <c r="BJ42" s="50">
        <f t="shared" si="8"/>
        <v>0</v>
      </c>
      <c r="BK42" s="50">
        <f t="shared" si="9"/>
        <v>0</v>
      </c>
      <c r="BL42" s="50">
        <f t="shared" si="10"/>
        <v>0</v>
      </c>
      <c r="BM42" s="50">
        <f t="shared" si="11"/>
        <v>3</v>
      </c>
      <c r="BN42" s="50">
        <f t="shared" si="12"/>
        <v>1</v>
      </c>
      <c r="BO42" s="50">
        <f t="shared" si="13"/>
        <v>0</v>
      </c>
      <c r="BP42" s="50">
        <f t="shared" si="14"/>
        <v>0</v>
      </c>
      <c r="BQ42" s="4" t="str">
        <f t="shared" si="15"/>
        <v>09,00 2025.02.06</v>
      </c>
      <c r="BR42" s="4" t="str">
        <f t="shared" si="16"/>
        <v>12,00 2025.02.06</v>
      </c>
      <c r="BS42" s="4" t="str">
        <f t="shared" si="17"/>
        <v>П</v>
      </c>
      <c r="BT42" s="10">
        <f t="shared" si="18"/>
        <v>3</v>
      </c>
      <c r="BU42" s="42">
        <f t="shared" si="19"/>
        <v>1</v>
      </c>
      <c r="BV42" s="11">
        <f t="shared" si="20"/>
        <v>0</v>
      </c>
      <c r="BW42" s="11">
        <f t="shared" si="21"/>
        <v>0</v>
      </c>
      <c r="BX42" s="11">
        <f t="shared" si="22"/>
        <v>1</v>
      </c>
      <c r="BY42" s="11">
        <f t="shared" si="23"/>
        <v>0</v>
      </c>
      <c r="BZ42" s="11">
        <f t="shared" si="24"/>
        <v>0</v>
      </c>
      <c r="CA42" s="11">
        <f t="shared" si="25"/>
        <v>1</v>
      </c>
      <c r="CB42" s="42">
        <f t="shared" si="26"/>
        <v>0</v>
      </c>
      <c r="CC42" s="11">
        <f t="shared" si="27"/>
        <v>0</v>
      </c>
      <c r="CD42" s="11">
        <f t="shared" si="28"/>
        <v>1</v>
      </c>
      <c r="CE42" s="4"/>
      <c r="CF42" s="50">
        <f t="shared" si="29"/>
        <v>0</v>
      </c>
      <c r="CG42" s="50">
        <f t="shared" si="30"/>
        <v>0</v>
      </c>
      <c r="CH42" s="50">
        <f t="shared" si="31"/>
        <v>3</v>
      </c>
      <c r="CI42" s="50">
        <f t="shared" si="32"/>
        <v>1</v>
      </c>
      <c r="CJ42" s="50">
        <f t="shared" si="33"/>
        <v>0</v>
      </c>
      <c r="CK42" s="50">
        <f t="shared" si="34"/>
        <v>0</v>
      </c>
      <c r="CL42" s="50">
        <f t="shared" si="35"/>
        <v>0</v>
      </c>
      <c r="CM42" s="50">
        <f t="shared" si="36"/>
        <v>0</v>
      </c>
      <c r="CN42" s="50">
        <f t="shared" si="37"/>
        <v>3</v>
      </c>
      <c r="CO42" s="50">
        <f t="shared" si="38"/>
        <v>1</v>
      </c>
      <c r="CP42" s="50">
        <f t="shared" si="39"/>
        <v>0</v>
      </c>
      <c r="CQ42" s="50">
        <f t="shared" si="40"/>
        <v>0</v>
      </c>
      <c r="CR42"/>
    </row>
    <row r="43" spans="2:96" s="332" customFormat="1" ht="15.75" customHeight="1" x14ac:dyDescent="0.15">
      <c r="B43" s="59"/>
      <c r="D43" s="130">
        <v>21</v>
      </c>
      <c r="AA43" s="28" t="s">
        <v>701</v>
      </c>
      <c r="AB43" s="31" t="s">
        <v>916</v>
      </c>
      <c r="AC43" s="247" t="s">
        <v>1430</v>
      </c>
      <c r="AD43" s="314" t="s">
        <v>110</v>
      </c>
      <c r="AE43" s="315" t="s">
        <v>1483</v>
      </c>
      <c r="AF43" s="316" t="s">
        <v>1432</v>
      </c>
      <c r="AG43" s="248" t="s">
        <v>1480</v>
      </c>
      <c r="AH43" s="248" t="s">
        <v>1484</v>
      </c>
      <c r="AI43" s="248" t="s">
        <v>100</v>
      </c>
      <c r="AJ43" s="317">
        <v>6.9999999999417897</v>
      </c>
      <c r="AK43" s="315" t="s">
        <v>1485</v>
      </c>
      <c r="AL43" s="315">
        <v>0</v>
      </c>
      <c r="AM43" s="315">
        <v>0</v>
      </c>
      <c r="AN43" s="42">
        <f t="shared" si="1"/>
        <v>1</v>
      </c>
      <c r="AO43" s="318">
        <v>0</v>
      </c>
      <c r="AP43" s="318">
        <v>0</v>
      </c>
      <c r="AQ43" s="318">
        <v>1</v>
      </c>
      <c r="AR43" s="318">
        <v>0</v>
      </c>
      <c r="AS43" s="318">
        <v>0</v>
      </c>
      <c r="AT43" s="318">
        <v>1</v>
      </c>
      <c r="AU43" s="42">
        <f t="shared" si="2"/>
        <v>0</v>
      </c>
      <c r="AV43" s="318">
        <v>0</v>
      </c>
      <c r="AW43" s="318">
        <v>200</v>
      </c>
      <c r="AX43" s="315"/>
      <c r="AY43" s="636"/>
      <c r="AZ43" s="319"/>
      <c r="BA43" s="319"/>
      <c r="BB43" s="318">
        <v>1</v>
      </c>
      <c r="BC43" s="9"/>
      <c r="BD43" s="9"/>
      <c r="BE43" s="50">
        <f t="shared" si="3"/>
        <v>0</v>
      </c>
      <c r="BF43" s="50">
        <f t="shared" si="4"/>
        <v>0</v>
      </c>
      <c r="BG43" s="50">
        <f t="shared" si="5"/>
        <v>6.9999999999417897</v>
      </c>
      <c r="BH43" s="50">
        <f t="shared" si="6"/>
        <v>1</v>
      </c>
      <c r="BI43" s="50">
        <f t="shared" si="7"/>
        <v>0</v>
      </c>
      <c r="BJ43" s="50">
        <f t="shared" si="8"/>
        <v>0</v>
      </c>
      <c r="BK43" s="50">
        <f t="shared" si="9"/>
        <v>0</v>
      </c>
      <c r="BL43" s="50">
        <f t="shared" si="10"/>
        <v>0</v>
      </c>
      <c r="BM43" s="50">
        <f t="shared" si="11"/>
        <v>6.9999999999417897</v>
      </c>
      <c r="BN43" s="50">
        <f t="shared" si="12"/>
        <v>1</v>
      </c>
      <c r="BO43" s="50">
        <f t="shared" si="13"/>
        <v>0</v>
      </c>
      <c r="BP43" s="50">
        <f t="shared" si="14"/>
        <v>0</v>
      </c>
      <c r="BQ43" s="4" t="str">
        <f t="shared" si="15"/>
        <v>09,00 2025.02.06</v>
      </c>
      <c r="BR43" s="4" t="str">
        <f t="shared" si="16"/>
        <v>16,00 2025.02.06</v>
      </c>
      <c r="BS43" s="4" t="str">
        <f t="shared" si="17"/>
        <v>П</v>
      </c>
      <c r="BT43" s="10">
        <f t="shared" si="18"/>
        <v>6.9999999999417897</v>
      </c>
      <c r="BU43" s="42">
        <f t="shared" si="19"/>
        <v>1</v>
      </c>
      <c r="BV43" s="11">
        <f t="shared" si="20"/>
        <v>0</v>
      </c>
      <c r="BW43" s="11">
        <f t="shared" si="21"/>
        <v>0</v>
      </c>
      <c r="BX43" s="11">
        <f t="shared" si="22"/>
        <v>1</v>
      </c>
      <c r="BY43" s="11">
        <f t="shared" si="23"/>
        <v>0</v>
      </c>
      <c r="BZ43" s="11">
        <f t="shared" si="24"/>
        <v>0</v>
      </c>
      <c r="CA43" s="11">
        <f t="shared" si="25"/>
        <v>1</v>
      </c>
      <c r="CB43" s="42">
        <f t="shared" si="26"/>
        <v>0</v>
      </c>
      <c r="CC43" s="11">
        <f t="shared" si="27"/>
        <v>0</v>
      </c>
      <c r="CD43" s="11">
        <f t="shared" si="28"/>
        <v>1</v>
      </c>
      <c r="CE43" s="4"/>
      <c r="CF43" s="50">
        <f t="shared" si="29"/>
        <v>0</v>
      </c>
      <c r="CG43" s="50">
        <f t="shared" si="30"/>
        <v>0</v>
      </c>
      <c r="CH43" s="50">
        <f t="shared" si="31"/>
        <v>6.9999999999417897</v>
      </c>
      <c r="CI43" s="50">
        <f t="shared" si="32"/>
        <v>1</v>
      </c>
      <c r="CJ43" s="50">
        <f t="shared" si="33"/>
        <v>0</v>
      </c>
      <c r="CK43" s="50">
        <f t="shared" si="34"/>
        <v>0</v>
      </c>
      <c r="CL43" s="50">
        <f t="shared" si="35"/>
        <v>0</v>
      </c>
      <c r="CM43" s="50">
        <f t="shared" si="36"/>
        <v>0</v>
      </c>
      <c r="CN43" s="50">
        <f t="shared" si="37"/>
        <v>6.9999999999417897</v>
      </c>
      <c r="CO43" s="50">
        <f t="shared" si="38"/>
        <v>1</v>
      </c>
      <c r="CP43" s="50">
        <f t="shared" si="39"/>
        <v>0</v>
      </c>
      <c r="CQ43" s="50">
        <f t="shared" si="40"/>
        <v>0</v>
      </c>
      <c r="CR43"/>
    </row>
    <row r="44" spans="2:96" s="333" customFormat="1" ht="15.75" customHeight="1" x14ac:dyDescent="0.15">
      <c r="B44" s="59"/>
      <c r="D44" s="130">
        <v>21</v>
      </c>
      <c r="AA44" s="28" t="s">
        <v>701</v>
      </c>
      <c r="AB44" s="31" t="s">
        <v>917</v>
      </c>
      <c r="AC44" s="247" t="s">
        <v>1435</v>
      </c>
      <c r="AD44" s="314" t="s">
        <v>110</v>
      </c>
      <c r="AE44" s="315" t="s">
        <v>1486</v>
      </c>
      <c r="AF44" s="316" t="s">
        <v>1432</v>
      </c>
      <c r="AG44" s="248" t="s">
        <v>1487</v>
      </c>
      <c r="AH44" s="248" t="s">
        <v>1488</v>
      </c>
      <c r="AI44" s="248" t="s">
        <v>100</v>
      </c>
      <c r="AJ44" s="317">
        <v>1.2000000000698501</v>
      </c>
      <c r="AK44" s="315" t="s">
        <v>1489</v>
      </c>
      <c r="AL44" s="315">
        <v>0</v>
      </c>
      <c r="AM44" s="315">
        <v>0</v>
      </c>
      <c r="AN44" s="42">
        <f t="shared" si="1"/>
        <v>1</v>
      </c>
      <c r="AO44" s="318">
        <v>0</v>
      </c>
      <c r="AP44" s="318">
        <v>0</v>
      </c>
      <c r="AQ44" s="318">
        <v>1</v>
      </c>
      <c r="AR44" s="318">
        <v>0</v>
      </c>
      <c r="AS44" s="318">
        <v>0</v>
      </c>
      <c r="AT44" s="318">
        <v>1</v>
      </c>
      <c r="AU44" s="42">
        <f t="shared" si="2"/>
        <v>0</v>
      </c>
      <c r="AV44" s="318">
        <v>0</v>
      </c>
      <c r="AW44" s="318">
        <v>880</v>
      </c>
      <c r="AX44" s="315"/>
      <c r="AY44" s="636"/>
      <c r="AZ44" s="319"/>
      <c r="BA44" s="319"/>
      <c r="BB44" s="318">
        <v>1</v>
      </c>
      <c r="BC44" s="9"/>
      <c r="BD44" s="9"/>
      <c r="BE44" s="50">
        <f t="shared" si="3"/>
        <v>0</v>
      </c>
      <c r="BF44" s="50">
        <f t="shared" si="4"/>
        <v>0</v>
      </c>
      <c r="BG44" s="50">
        <f t="shared" si="5"/>
        <v>1.2000000000698501</v>
      </c>
      <c r="BH44" s="50">
        <f t="shared" si="6"/>
        <v>1</v>
      </c>
      <c r="BI44" s="50">
        <f t="shared" si="7"/>
        <v>0</v>
      </c>
      <c r="BJ44" s="50">
        <f t="shared" si="8"/>
        <v>0</v>
      </c>
      <c r="BK44" s="50">
        <f t="shared" si="9"/>
        <v>0</v>
      </c>
      <c r="BL44" s="50">
        <f t="shared" si="10"/>
        <v>0</v>
      </c>
      <c r="BM44" s="50">
        <f t="shared" si="11"/>
        <v>1.2000000000698501</v>
      </c>
      <c r="BN44" s="50">
        <f t="shared" si="12"/>
        <v>1</v>
      </c>
      <c r="BO44" s="50">
        <f t="shared" si="13"/>
        <v>0</v>
      </c>
      <c r="BP44" s="50">
        <f t="shared" si="14"/>
        <v>0</v>
      </c>
      <c r="BQ44" s="4" t="str">
        <f t="shared" si="15"/>
        <v>18,00 2025.02.08</v>
      </c>
      <c r="BR44" s="4" t="str">
        <f t="shared" si="16"/>
        <v>19,12 2025.02.08</v>
      </c>
      <c r="BS44" s="4" t="str">
        <f t="shared" si="17"/>
        <v>П</v>
      </c>
      <c r="BT44" s="10">
        <f t="shared" si="18"/>
        <v>1.2000000000698501</v>
      </c>
      <c r="BU44" s="42">
        <f t="shared" si="19"/>
        <v>1</v>
      </c>
      <c r="BV44" s="11">
        <f t="shared" si="20"/>
        <v>0</v>
      </c>
      <c r="BW44" s="11">
        <f t="shared" si="21"/>
        <v>0</v>
      </c>
      <c r="BX44" s="11">
        <f t="shared" si="22"/>
        <v>1</v>
      </c>
      <c r="BY44" s="11">
        <f t="shared" si="23"/>
        <v>0</v>
      </c>
      <c r="BZ44" s="11">
        <f t="shared" si="24"/>
        <v>0</v>
      </c>
      <c r="CA44" s="11">
        <f t="shared" si="25"/>
        <v>1</v>
      </c>
      <c r="CB44" s="42">
        <f t="shared" si="26"/>
        <v>0</v>
      </c>
      <c r="CC44" s="11">
        <f t="shared" si="27"/>
        <v>0</v>
      </c>
      <c r="CD44" s="11">
        <f t="shared" si="28"/>
        <v>1</v>
      </c>
      <c r="CE44" s="4"/>
      <c r="CF44" s="50">
        <f t="shared" si="29"/>
        <v>0</v>
      </c>
      <c r="CG44" s="50">
        <f t="shared" si="30"/>
        <v>0</v>
      </c>
      <c r="CH44" s="50">
        <f t="shared" si="31"/>
        <v>1.2000000000698501</v>
      </c>
      <c r="CI44" s="50">
        <f t="shared" si="32"/>
        <v>1</v>
      </c>
      <c r="CJ44" s="50">
        <f t="shared" si="33"/>
        <v>0</v>
      </c>
      <c r="CK44" s="50">
        <f t="shared" si="34"/>
        <v>0</v>
      </c>
      <c r="CL44" s="50">
        <f t="shared" si="35"/>
        <v>0</v>
      </c>
      <c r="CM44" s="50">
        <f t="shared" si="36"/>
        <v>0</v>
      </c>
      <c r="CN44" s="50">
        <f t="shared" si="37"/>
        <v>1.2000000000698501</v>
      </c>
      <c r="CO44" s="50">
        <f t="shared" si="38"/>
        <v>1</v>
      </c>
      <c r="CP44" s="50">
        <f t="shared" si="39"/>
        <v>0</v>
      </c>
      <c r="CQ44" s="50">
        <f t="shared" si="40"/>
        <v>0</v>
      </c>
      <c r="CR44"/>
    </row>
    <row r="45" spans="2:96" s="334" customFormat="1" ht="15.75" customHeight="1" x14ac:dyDescent="0.15">
      <c r="B45" s="59"/>
      <c r="D45" s="130">
        <v>21</v>
      </c>
      <c r="AA45" s="28" t="s">
        <v>701</v>
      </c>
      <c r="AB45" s="31" t="s">
        <v>918</v>
      </c>
      <c r="AC45" s="247" t="s">
        <v>1440</v>
      </c>
      <c r="AD45" s="314" t="s">
        <v>110</v>
      </c>
      <c r="AE45" s="315" t="s">
        <v>1490</v>
      </c>
      <c r="AF45" s="316" t="s">
        <v>1432</v>
      </c>
      <c r="AG45" s="248" t="s">
        <v>1491</v>
      </c>
      <c r="AH45" s="248" t="s">
        <v>1492</v>
      </c>
      <c r="AI45" s="248" t="s">
        <v>100</v>
      </c>
      <c r="AJ45" s="317">
        <v>1.3000000000465699</v>
      </c>
      <c r="AK45" s="315" t="s">
        <v>1493</v>
      </c>
      <c r="AL45" s="315">
        <v>0</v>
      </c>
      <c r="AM45" s="315">
        <v>0</v>
      </c>
      <c r="AN45" s="42">
        <f t="shared" si="1"/>
        <v>1</v>
      </c>
      <c r="AO45" s="318">
        <v>0</v>
      </c>
      <c r="AP45" s="318">
        <v>0</v>
      </c>
      <c r="AQ45" s="318">
        <v>1</v>
      </c>
      <c r="AR45" s="318">
        <v>0</v>
      </c>
      <c r="AS45" s="318">
        <v>0</v>
      </c>
      <c r="AT45" s="318">
        <v>1</v>
      </c>
      <c r="AU45" s="42">
        <f t="shared" si="2"/>
        <v>0</v>
      </c>
      <c r="AV45" s="318">
        <v>0</v>
      </c>
      <c r="AW45" s="318">
        <v>440</v>
      </c>
      <c r="AX45" s="315"/>
      <c r="AY45" s="636"/>
      <c r="AZ45" s="319"/>
      <c r="BA45" s="319"/>
      <c r="BB45" s="318">
        <v>1</v>
      </c>
      <c r="BC45" s="9"/>
      <c r="BD45" s="9"/>
      <c r="BE45" s="50">
        <f t="shared" si="3"/>
        <v>0</v>
      </c>
      <c r="BF45" s="50">
        <f t="shared" si="4"/>
        <v>0</v>
      </c>
      <c r="BG45" s="50">
        <f t="shared" si="5"/>
        <v>1.3000000000465699</v>
      </c>
      <c r="BH45" s="50">
        <f t="shared" si="6"/>
        <v>1</v>
      </c>
      <c r="BI45" s="50">
        <f t="shared" si="7"/>
        <v>0</v>
      </c>
      <c r="BJ45" s="50">
        <f t="shared" si="8"/>
        <v>0</v>
      </c>
      <c r="BK45" s="50">
        <f t="shared" si="9"/>
        <v>0</v>
      </c>
      <c r="BL45" s="50">
        <f t="shared" si="10"/>
        <v>0</v>
      </c>
      <c r="BM45" s="50">
        <f t="shared" si="11"/>
        <v>1.3000000000465699</v>
      </c>
      <c r="BN45" s="50">
        <f t="shared" si="12"/>
        <v>1</v>
      </c>
      <c r="BO45" s="50">
        <f t="shared" si="13"/>
        <v>0</v>
      </c>
      <c r="BP45" s="50">
        <f t="shared" si="14"/>
        <v>0</v>
      </c>
      <c r="BQ45" s="4" t="str">
        <f t="shared" si="15"/>
        <v>16,20 2025.02.09</v>
      </c>
      <c r="BR45" s="4" t="str">
        <f t="shared" si="16"/>
        <v>17,38 2025.02.09</v>
      </c>
      <c r="BS45" s="4" t="str">
        <f t="shared" si="17"/>
        <v>П</v>
      </c>
      <c r="BT45" s="10">
        <f t="shared" si="18"/>
        <v>1.3000000000465699</v>
      </c>
      <c r="BU45" s="42">
        <f t="shared" si="19"/>
        <v>1</v>
      </c>
      <c r="BV45" s="11">
        <f t="shared" si="20"/>
        <v>0</v>
      </c>
      <c r="BW45" s="11">
        <f t="shared" si="21"/>
        <v>0</v>
      </c>
      <c r="BX45" s="11">
        <f t="shared" si="22"/>
        <v>1</v>
      </c>
      <c r="BY45" s="11">
        <f t="shared" si="23"/>
        <v>0</v>
      </c>
      <c r="BZ45" s="11">
        <f t="shared" si="24"/>
        <v>0</v>
      </c>
      <c r="CA45" s="11">
        <f t="shared" si="25"/>
        <v>1</v>
      </c>
      <c r="CB45" s="42">
        <f t="shared" si="26"/>
        <v>0</v>
      </c>
      <c r="CC45" s="11">
        <f t="shared" si="27"/>
        <v>0</v>
      </c>
      <c r="CD45" s="11">
        <f t="shared" si="28"/>
        <v>1</v>
      </c>
      <c r="CE45" s="4"/>
      <c r="CF45" s="50">
        <f t="shared" si="29"/>
        <v>0</v>
      </c>
      <c r="CG45" s="50">
        <f t="shared" si="30"/>
        <v>0</v>
      </c>
      <c r="CH45" s="50">
        <f t="shared" si="31"/>
        <v>1.3000000000465699</v>
      </c>
      <c r="CI45" s="50">
        <f t="shared" si="32"/>
        <v>1</v>
      </c>
      <c r="CJ45" s="50">
        <f t="shared" si="33"/>
        <v>0</v>
      </c>
      <c r="CK45" s="50">
        <f t="shared" si="34"/>
        <v>0</v>
      </c>
      <c r="CL45" s="50">
        <f t="shared" si="35"/>
        <v>0</v>
      </c>
      <c r="CM45" s="50">
        <f t="shared" si="36"/>
        <v>0</v>
      </c>
      <c r="CN45" s="50">
        <f t="shared" si="37"/>
        <v>1.3000000000465699</v>
      </c>
      <c r="CO45" s="50">
        <f t="shared" si="38"/>
        <v>1</v>
      </c>
      <c r="CP45" s="50">
        <f t="shared" si="39"/>
        <v>0</v>
      </c>
      <c r="CQ45" s="50">
        <f t="shared" si="40"/>
        <v>0</v>
      </c>
      <c r="CR45"/>
    </row>
    <row r="46" spans="2:96" s="335" customFormat="1" ht="15.75" customHeight="1" x14ac:dyDescent="0.15">
      <c r="B46" s="59"/>
      <c r="D46" s="130">
        <v>21</v>
      </c>
      <c r="AA46" s="28" t="s">
        <v>701</v>
      </c>
      <c r="AB46" s="31" t="s">
        <v>919</v>
      </c>
      <c r="AC46" s="247" t="s">
        <v>1445</v>
      </c>
      <c r="AD46" s="314" t="s">
        <v>121</v>
      </c>
      <c r="AE46" s="315" t="s">
        <v>1494</v>
      </c>
      <c r="AF46" s="316" t="s">
        <v>1495</v>
      </c>
      <c r="AG46" s="248" t="s">
        <v>1496</v>
      </c>
      <c r="AH46" s="248" t="s">
        <v>1497</v>
      </c>
      <c r="AI46" s="248" t="s">
        <v>100</v>
      </c>
      <c r="AJ46" s="317">
        <v>1.6666666666860701</v>
      </c>
      <c r="AK46" s="315" t="s">
        <v>1498</v>
      </c>
      <c r="AL46" s="315">
        <v>0</v>
      </c>
      <c r="AM46" s="315">
        <v>0</v>
      </c>
      <c r="AN46" s="42">
        <f t="shared" si="1"/>
        <v>1</v>
      </c>
      <c r="AO46" s="318">
        <v>0</v>
      </c>
      <c r="AP46" s="318">
        <v>0</v>
      </c>
      <c r="AQ46" s="318">
        <v>1</v>
      </c>
      <c r="AR46" s="318">
        <v>0</v>
      </c>
      <c r="AS46" s="318">
        <v>0</v>
      </c>
      <c r="AT46" s="318">
        <v>1</v>
      </c>
      <c r="AU46" s="42">
        <f t="shared" si="2"/>
        <v>0</v>
      </c>
      <c r="AV46" s="318">
        <v>0</v>
      </c>
      <c r="AW46" s="318">
        <v>3820</v>
      </c>
      <c r="AX46" s="315"/>
      <c r="AY46" s="636"/>
      <c r="AZ46" s="319"/>
      <c r="BA46" s="319"/>
      <c r="BB46" s="318">
        <v>1</v>
      </c>
      <c r="BC46" s="9"/>
      <c r="BD46" s="9"/>
      <c r="BE46" s="50">
        <f t="shared" si="3"/>
        <v>0</v>
      </c>
      <c r="BF46" s="50">
        <f t="shared" si="4"/>
        <v>0</v>
      </c>
      <c r="BG46" s="50">
        <f t="shared" si="5"/>
        <v>1.6666666666860701</v>
      </c>
      <c r="BH46" s="50">
        <f t="shared" si="6"/>
        <v>1</v>
      </c>
      <c r="BI46" s="50">
        <f t="shared" si="7"/>
        <v>0</v>
      </c>
      <c r="BJ46" s="50">
        <f t="shared" si="8"/>
        <v>0</v>
      </c>
      <c r="BK46" s="50">
        <f t="shared" si="9"/>
        <v>0</v>
      </c>
      <c r="BL46" s="50">
        <f t="shared" si="10"/>
        <v>0</v>
      </c>
      <c r="BM46" s="50">
        <f t="shared" si="11"/>
        <v>1.6666666666860701</v>
      </c>
      <c r="BN46" s="50">
        <f t="shared" si="12"/>
        <v>1</v>
      </c>
      <c r="BO46" s="50">
        <f t="shared" si="13"/>
        <v>0</v>
      </c>
      <c r="BP46" s="50">
        <f t="shared" si="14"/>
        <v>0</v>
      </c>
      <c r="BQ46" s="4" t="str">
        <f t="shared" si="15"/>
        <v>10,37 2025.02.10</v>
      </c>
      <c r="BR46" s="4" t="str">
        <f t="shared" si="16"/>
        <v>12,17 2025.02.10</v>
      </c>
      <c r="BS46" s="4" t="str">
        <f t="shared" si="17"/>
        <v>П</v>
      </c>
      <c r="BT46" s="10">
        <f t="shared" si="18"/>
        <v>1.6666666666860701</v>
      </c>
      <c r="BU46" s="42">
        <f t="shared" si="19"/>
        <v>1</v>
      </c>
      <c r="BV46" s="11">
        <f t="shared" si="20"/>
        <v>0</v>
      </c>
      <c r="BW46" s="11">
        <f t="shared" si="21"/>
        <v>0</v>
      </c>
      <c r="BX46" s="11">
        <f t="shared" si="22"/>
        <v>1</v>
      </c>
      <c r="BY46" s="11">
        <f t="shared" si="23"/>
        <v>0</v>
      </c>
      <c r="BZ46" s="11">
        <f t="shared" si="24"/>
        <v>0</v>
      </c>
      <c r="CA46" s="11">
        <f t="shared" si="25"/>
        <v>1</v>
      </c>
      <c r="CB46" s="42">
        <f t="shared" si="26"/>
        <v>0</v>
      </c>
      <c r="CC46" s="11">
        <f t="shared" si="27"/>
        <v>0</v>
      </c>
      <c r="CD46" s="11">
        <f t="shared" si="28"/>
        <v>1</v>
      </c>
      <c r="CE46" s="4"/>
      <c r="CF46" s="50">
        <f t="shared" si="29"/>
        <v>0</v>
      </c>
      <c r="CG46" s="50">
        <f t="shared" si="30"/>
        <v>0</v>
      </c>
      <c r="CH46" s="50">
        <f t="shared" si="31"/>
        <v>1.6666666666860701</v>
      </c>
      <c r="CI46" s="50">
        <f t="shared" si="32"/>
        <v>1</v>
      </c>
      <c r="CJ46" s="50">
        <f t="shared" si="33"/>
        <v>0</v>
      </c>
      <c r="CK46" s="50">
        <f t="shared" si="34"/>
        <v>0</v>
      </c>
      <c r="CL46" s="50">
        <f t="shared" si="35"/>
        <v>0</v>
      </c>
      <c r="CM46" s="50">
        <f t="shared" si="36"/>
        <v>0</v>
      </c>
      <c r="CN46" s="50">
        <f t="shared" si="37"/>
        <v>1.6666666666860701</v>
      </c>
      <c r="CO46" s="50">
        <f t="shared" si="38"/>
        <v>1</v>
      </c>
      <c r="CP46" s="50">
        <f t="shared" si="39"/>
        <v>0</v>
      </c>
      <c r="CQ46" s="50">
        <f t="shared" si="40"/>
        <v>0</v>
      </c>
      <c r="CR46"/>
    </row>
    <row r="47" spans="2:96" s="336" customFormat="1" ht="15.75" customHeight="1" x14ac:dyDescent="0.15">
      <c r="B47" s="59"/>
      <c r="D47" s="130">
        <v>21</v>
      </c>
      <c r="AA47" s="28" t="s">
        <v>701</v>
      </c>
      <c r="AB47" s="31" t="s">
        <v>920</v>
      </c>
      <c r="AC47" s="247" t="s">
        <v>1445</v>
      </c>
      <c r="AD47" s="314" t="s">
        <v>110</v>
      </c>
      <c r="AE47" s="315" t="s">
        <v>1499</v>
      </c>
      <c r="AF47" s="316" t="s">
        <v>1432</v>
      </c>
      <c r="AG47" s="248" t="s">
        <v>1500</v>
      </c>
      <c r="AH47" s="248" t="s">
        <v>1501</v>
      </c>
      <c r="AI47" s="248" t="s">
        <v>100</v>
      </c>
      <c r="AJ47" s="317">
        <v>3.1166666666977099</v>
      </c>
      <c r="AK47" s="315" t="s">
        <v>1502</v>
      </c>
      <c r="AL47" s="315">
        <v>0</v>
      </c>
      <c r="AM47" s="315">
        <v>0</v>
      </c>
      <c r="AN47" s="42">
        <f t="shared" si="1"/>
        <v>1</v>
      </c>
      <c r="AO47" s="318">
        <v>0</v>
      </c>
      <c r="AP47" s="318">
        <v>0</v>
      </c>
      <c r="AQ47" s="318">
        <v>1</v>
      </c>
      <c r="AR47" s="318">
        <v>0</v>
      </c>
      <c r="AS47" s="318">
        <v>0</v>
      </c>
      <c r="AT47" s="318">
        <v>1</v>
      </c>
      <c r="AU47" s="42">
        <f t="shared" si="2"/>
        <v>0</v>
      </c>
      <c r="AV47" s="318">
        <v>0</v>
      </c>
      <c r="AW47" s="318">
        <v>1340</v>
      </c>
      <c r="AX47" s="315"/>
      <c r="AY47" s="636"/>
      <c r="AZ47" s="319"/>
      <c r="BA47" s="319"/>
      <c r="BB47" s="318">
        <v>1</v>
      </c>
      <c r="BC47" s="9"/>
      <c r="BD47" s="9"/>
      <c r="BE47" s="50">
        <f t="shared" si="3"/>
        <v>0</v>
      </c>
      <c r="BF47" s="50">
        <f t="shared" si="4"/>
        <v>0</v>
      </c>
      <c r="BG47" s="50">
        <f t="shared" si="5"/>
        <v>3.1166666666977099</v>
      </c>
      <c r="BH47" s="50">
        <f t="shared" si="6"/>
        <v>1</v>
      </c>
      <c r="BI47" s="50">
        <f t="shared" si="7"/>
        <v>0</v>
      </c>
      <c r="BJ47" s="50">
        <f t="shared" si="8"/>
        <v>0</v>
      </c>
      <c r="BK47" s="50">
        <f t="shared" si="9"/>
        <v>0</v>
      </c>
      <c r="BL47" s="50">
        <f t="shared" si="10"/>
        <v>0</v>
      </c>
      <c r="BM47" s="50">
        <f t="shared" si="11"/>
        <v>3.1166666666977099</v>
      </c>
      <c r="BN47" s="50">
        <f t="shared" si="12"/>
        <v>1</v>
      </c>
      <c r="BO47" s="50">
        <f t="shared" si="13"/>
        <v>0</v>
      </c>
      <c r="BP47" s="50">
        <f t="shared" si="14"/>
        <v>0</v>
      </c>
      <c r="BQ47" s="4" t="str">
        <f t="shared" si="15"/>
        <v>16,03 2025.02.13</v>
      </c>
      <c r="BR47" s="4" t="str">
        <f t="shared" si="16"/>
        <v>19,10 2025.02.13</v>
      </c>
      <c r="BS47" s="4" t="str">
        <f t="shared" si="17"/>
        <v>П</v>
      </c>
      <c r="BT47" s="10">
        <f t="shared" si="18"/>
        <v>3.1166666666977099</v>
      </c>
      <c r="BU47" s="42">
        <f t="shared" si="19"/>
        <v>1</v>
      </c>
      <c r="BV47" s="11">
        <f t="shared" si="20"/>
        <v>0</v>
      </c>
      <c r="BW47" s="11">
        <f t="shared" si="21"/>
        <v>0</v>
      </c>
      <c r="BX47" s="11">
        <f t="shared" si="22"/>
        <v>1</v>
      </c>
      <c r="BY47" s="11">
        <f t="shared" si="23"/>
        <v>0</v>
      </c>
      <c r="BZ47" s="11">
        <f t="shared" si="24"/>
        <v>0</v>
      </c>
      <c r="CA47" s="11">
        <f t="shared" si="25"/>
        <v>1</v>
      </c>
      <c r="CB47" s="42">
        <f t="shared" si="26"/>
        <v>0</v>
      </c>
      <c r="CC47" s="11">
        <f t="shared" si="27"/>
        <v>0</v>
      </c>
      <c r="CD47" s="11">
        <f t="shared" si="28"/>
        <v>1</v>
      </c>
      <c r="CE47" s="4"/>
      <c r="CF47" s="50">
        <f t="shared" si="29"/>
        <v>0</v>
      </c>
      <c r="CG47" s="50">
        <f t="shared" si="30"/>
        <v>0</v>
      </c>
      <c r="CH47" s="50">
        <f t="shared" si="31"/>
        <v>3.1166666666977099</v>
      </c>
      <c r="CI47" s="50">
        <f t="shared" si="32"/>
        <v>1</v>
      </c>
      <c r="CJ47" s="50">
        <f t="shared" si="33"/>
        <v>0</v>
      </c>
      <c r="CK47" s="50">
        <f t="shared" si="34"/>
        <v>0</v>
      </c>
      <c r="CL47" s="50">
        <f t="shared" si="35"/>
        <v>0</v>
      </c>
      <c r="CM47" s="50">
        <f t="shared" si="36"/>
        <v>0</v>
      </c>
      <c r="CN47" s="50">
        <f t="shared" si="37"/>
        <v>3.1166666666977099</v>
      </c>
      <c r="CO47" s="50">
        <f t="shared" si="38"/>
        <v>1</v>
      </c>
      <c r="CP47" s="50">
        <f t="shared" si="39"/>
        <v>0</v>
      </c>
      <c r="CQ47" s="50">
        <f t="shared" si="40"/>
        <v>0</v>
      </c>
      <c r="CR47"/>
    </row>
    <row r="48" spans="2:96" s="337" customFormat="1" ht="15.75" customHeight="1" x14ac:dyDescent="0.15">
      <c r="B48" s="59"/>
      <c r="D48" s="130">
        <v>21</v>
      </c>
      <c r="AA48" s="28" t="s">
        <v>701</v>
      </c>
      <c r="AB48" s="31" t="s">
        <v>921</v>
      </c>
      <c r="AC48" s="247" t="s">
        <v>1440</v>
      </c>
      <c r="AD48" s="314" t="s">
        <v>110</v>
      </c>
      <c r="AE48" s="315" t="s">
        <v>1503</v>
      </c>
      <c r="AF48" s="316" t="s">
        <v>1432</v>
      </c>
      <c r="AG48" s="248" t="s">
        <v>1504</v>
      </c>
      <c r="AH48" s="248" t="s">
        <v>1505</v>
      </c>
      <c r="AI48" s="248" t="s">
        <v>100</v>
      </c>
      <c r="AJ48" s="317">
        <v>2.2999999999883598</v>
      </c>
      <c r="AK48" s="315" t="s">
        <v>1506</v>
      </c>
      <c r="AL48" s="315">
        <v>0</v>
      </c>
      <c r="AM48" s="315">
        <v>0</v>
      </c>
      <c r="AN48" s="42">
        <f t="shared" si="1"/>
        <v>1</v>
      </c>
      <c r="AO48" s="318">
        <v>0</v>
      </c>
      <c r="AP48" s="318">
        <v>0</v>
      </c>
      <c r="AQ48" s="318">
        <v>1</v>
      </c>
      <c r="AR48" s="318">
        <v>0</v>
      </c>
      <c r="AS48" s="318">
        <v>0</v>
      </c>
      <c r="AT48" s="318">
        <v>1</v>
      </c>
      <c r="AU48" s="42">
        <f t="shared" si="2"/>
        <v>0</v>
      </c>
      <c r="AV48" s="318">
        <v>0</v>
      </c>
      <c r="AW48" s="318">
        <v>140</v>
      </c>
      <c r="AX48" s="315"/>
      <c r="AY48" s="636"/>
      <c r="AZ48" s="319"/>
      <c r="BA48" s="319"/>
      <c r="BB48" s="318">
        <v>1</v>
      </c>
      <c r="BC48" s="9"/>
      <c r="BD48" s="9"/>
      <c r="BE48" s="50">
        <f t="shared" si="3"/>
        <v>0</v>
      </c>
      <c r="BF48" s="50">
        <f t="shared" si="4"/>
        <v>0</v>
      </c>
      <c r="BG48" s="50">
        <f t="shared" si="5"/>
        <v>2.2999999999883598</v>
      </c>
      <c r="BH48" s="50">
        <f t="shared" si="6"/>
        <v>1</v>
      </c>
      <c r="BI48" s="50">
        <f t="shared" si="7"/>
        <v>0</v>
      </c>
      <c r="BJ48" s="50">
        <f t="shared" si="8"/>
        <v>0</v>
      </c>
      <c r="BK48" s="50">
        <f t="shared" si="9"/>
        <v>0</v>
      </c>
      <c r="BL48" s="50">
        <f t="shared" si="10"/>
        <v>0</v>
      </c>
      <c r="BM48" s="50">
        <f t="shared" si="11"/>
        <v>2.2999999999883598</v>
      </c>
      <c r="BN48" s="50">
        <f t="shared" si="12"/>
        <v>1</v>
      </c>
      <c r="BO48" s="50">
        <f t="shared" si="13"/>
        <v>0</v>
      </c>
      <c r="BP48" s="50">
        <f t="shared" si="14"/>
        <v>0</v>
      </c>
      <c r="BQ48" s="4" t="str">
        <f t="shared" si="15"/>
        <v>14,51 2025.02.16</v>
      </c>
      <c r="BR48" s="4" t="str">
        <f t="shared" si="16"/>
        <v>17,09 2025.02.16</v>
      </c>
      <c r="BS48" s="4" t="str">
        <f t="shared" si="17"/>
        <v>П</v>
      </c>
      <c r="BT48" s="10">
        <f t="shared" si="18"/>
        <v>2.2999999999883598</v>
      </c>
      <c r="BU48" s="42">
        <f t="shared" si="19"/>
        <v>1</v>
      </c>
      <c r="BV48" s="11">
        <f t="shared" si="20"/>
        <v>0</v>
      </c>
      <c r="BW48" s="11">
        <f t="shared" si="21"/>
        <v>0</v>
      </c>
      <c r="BX48" s="11">
        <f t="shared" si="22"/>
        <v>1</v>
      </c>
      <c r="BY48" s="11">
        <f t="shared" si="23"/>
        <v>0</v>
      </c>
      <c r="BZ48" s="11">
        <f t="shared" si="24"/>
        <v>0</v>
      </c>
      <c r="CA48" s="11">
        <f t="shared" si="25"/>
        <v>1</v>
      </c>
      <c r="CB48" s="42">
        <f t="shared" si="26"/>
        <v>0</v>
      </c>
      <c r="CC48" s="11">
        <f t="shared" si="27"/>
        <v>0</v>
      </c>
      <c r="CD48" s="11">
        <f t="shared" si="28"/>
        <v>1</v>
      </c>
      <c r="CE48" s="4"/>
      <c r="CF48" s="50">
        <f t="shared" si="29"/>
        <v>0</v>
      </c>
      <c r="CG48" s="50">
        <f t="shared" si="30"/>
        <v>0</v>
      </c>
      <c r="CH48" s="50">
        <f t="shared" si="31"/>
        <v>2.2999999999883598</v>
      </c>
      <c r="CI48" s="50">
        <f t="shared" si="32"/>
        <v>1</v>
      </c>
      <c r="CJ48" s="50">
        <f t="shared" si="33"/>
        <v>0</v>
      </c>
      <c r="CK48" s="50">
        <f t="shared" si="34"/>
        <v>0</v>
      </c>
      <c r="CL48" s="50">
        <f t="shared" si="35"/>
        <v>0</v>
      </c>
      <c r="CM48" s="50">
        <f t="shared" si="36"/>
        <v>0</v>
      </c>
      <c r="CN48" s="50">
        <f t="shared" si="37"/>
        <v>2.2999999999883598</v>
      </c>
      <c r="CO48" s="50">
        <f t="shared" si="38"/>
        <v>1</v>
      </c>
      <c r="CP48" s="50">
        <f t="shared" si="39"/>
        <v>0</v>
      </c>
      <c r="CQ48" s="50">
        <f t="shared" si="40"/>
        <v>0</v>
      </c>
      <c r="CR48"/>
    </row>
    <row r="49" spans="2:96" s="338" customFormat="1" ht="15.75" customHeight="1" x14ac:dyDescent="0.15">
      <c r="B49" s="59"/>
      <c r="D49" s="130">
        <v>21</v>
      </c>
      <c r="AA49" s="28" t="s">
        <v>701</v>
      </c>
      <c r="AB49" s="31" t="s">
        <v>922</v>
      </c>
      <c r="AC49" s="247" t="s">
        <v>1430</v>
      </c>
      <c r="AD49" s="314" t="s">
        <v>110</v>
      </c>
      <c r="AE49" s="315" t="s">
        <v>1507</v>
      </c>
      <c r="AF49" s="316" t="s">
        <v>1432</v>
      </c>
      <c r="AG49" s="248" t="s">
        <v>1508</v>
      </c>
      <c r="AH49" s="248" t="s">
        <v>1509</v>
      </c>
      <c r="AI49" s="248" t="s">
        <v>122</v>
      </c>
      <c r="AJ49" s="317">
        <v>0.25000000011641499</v>
      </c>
      <c r="AK49" s="315" t="s">
        <v>1510</v>
      </c>
      <c r="AL49" s="315">
        <v>0</v>
      </c>
      <c r="AM49" s="315">
        <v>4</v>
      </c>
      <c r="AN49" s="42">
        <f t="shared" si="1"/>
        <v>10</v>
      </c>
      <c r="AO49" s="318">
        <v>0</v>
      </c>
      <c r="AP49" s="318">
        <v>4</v>
      </c>
      <c r="AQ49" s="318">
        <v>6</v>
      </c>
      <c r="AR49" s="318">
        <v>0</v>
      </c>
      <c r="AS49" s="318">
        <v>0</v>
      </c>
      <c r="AT49" s="318">
        <v>10</v>
      </c>
      <c r="AU49" s="42">
        <f t="shared" si="2"/>
        <v>0</v>
      </c>
      <c r="AV49" s="318">
        <v>0</v>
      </c>
      <c r="AW49" s="318">
        <v>1080</v>
      </c>
      <c r="AX49" s="315"/>
      <c r="AY49" s="636" t="s">
        <v>2046</v>
      </c>
      <c r="AZ49" s="319" t="s">
        <v>201</v>
      </c>
      <c r="BA49" s="319" t="s">
        <v>2041</v>
      </c>
      <c r="BB49" s="318">
        <v>0</v>
      </c>
      <c r="BC49" s="9"/>
      <c r="BD49" s="9"/>
      <c r="BE49" s="50">
        <f t="shared" si="3"/>
        <v>0</v>
      </c>
      <c r="BF49" s="50">
        <f t="shared" si="4"/>
        <v>0</v>
      </c>
      <c r="BG49" s="50">
        <f t="shared" si="5"/>
        <v>0</v>
      </c>
      <c r="BH49" s="50">
        <f t="shared" si="6"/>
        <v>0</v>
      </c>
      <c r="BI49" s="50">
        <f t="shared" si="7"/>
        <v>0</v>
      </c>
      <c r="BJ49" s="50">
        <f t="shared" si="8"/>
        <v>0</v>
      </c>
      <c r="BK49" s="50">
        <f t="shared" si="9"/>
        <v>0</v>
      </c>
      <c r="BL49" s="50">
        <f t="shared" si="10"/>
        <v>0</v>
      </c>
      <c r="BM49" s="50">
        <f t="shared" si="11"/>
        <v>0</v>
      </c>
      <c r="BN49" s="50">
        <f t="shared" si="12"/>
        <v>0</v>
      </c>
      <c r="BO49" s="50">
        <f t="shared" si="13"/>
        <v>0</v>
      </c>
      <c r="BP49" s="50">
        <f t="shared" si="14"/>
        <v>0</v>
      </c>
      <c r="BQ49" s="4" t="str">
        <f t="shared" si="15"/>
        <v>17,46 2025.02.16</v>
      </c>
      <c r="BR49" s="4" t="str">
        <f t="shared" si="16"/>
        <v>18,01 2025.02.16</v>
      </c>
      <c r="BS49" s="4" t="str">
        <f t="shared" si="17"/>
        <v>В</v>
      </c>
      <c r="BT49" s="10">
        <f t="shared" si="18"/>
        <v>0.25000000011641499</v>
      </c>
      <c r="BU49" s="42">
        <f t="shared" si="19"/>
        <v>10</v>
      </c>
      <c r="BV49" s="11">
        <f t="shared" si="20"/>
        <v>0</v>
      </c>
      <c r="BW49" s="11">
        <f t="shared" si="21"/>
        <v>4</v>
      </c>
      <c r="BX49" s="11">
        <f t="shared" si="22"/>
        <v>6</v>
      </c>
      <c r="BY49" s="11">
        <f t="shared" si="23"/>
        <v>0</v>
      </c>
      <c r="BZ49" s="11">
        <f t="shared" si="24"/>
        <v>0</v>
      </c>
      <c r="CA49" s="11">
        <f t="shared" si="25"/>
        <v>10</v>
      </c>
      <c r="CB49" s="42">
        <f t="shared" si="26"/>
        <v>0</v>
      </c>
      <c r="CC49" s="11">
        <f t="shared" si="27"/>
        <v>0</v>
      </c>
      <c r="CD49" s="11">
        <f t="shared" si="28"/>
        <v>0</v>
      </c>
      <c r="CE49" s="4"/>
      <c r="CF49" s="50">
        <f t="shared" si="29"/>
        <v>0</v>
      </c>
      <c r="CG49" s="50">
        <f t="shared" si="30"/>
        <v>0</v>
      </c>
      <c r="CH49" s="50">
        <f t="shared" si="31"/>
        <v>0</v>
      </c>
      <c r="CI49" s="50">
        <f t="shared" si="32"/>
        <v>0</v>
      </c>
      <c r="CJ49" s="50">
        <f t="shared" si="33"/>
        <v>0</v>
      </c>
      <c r="CK49" s="50">
        <f t="shared" si="34"/>
        <v>0</v>
      </c>
      <c r="CL49" s="50">
        <f t="shared" si="35"/>
        <v>0</v>
      </c>
      <c r="CM49" s="50">
        <f t="shared" si="36"/>
        <v>0</v>
      </c>
      <c r="CN49" s="50">
        <f t="shared" si="37"/>
        <v>0</v>
      </c>
      <c r="CO49" s="50">
        <f t="shared" si="38"/>
        <v>0</v>
      </c>
      <c r="CP49" s="50">
        <f t="shared" si="39"/>
        <v>0</v>
      </c>
      <c r="CQ49" s="50">
        <f t="shared" si="40"/>
        <v>0</v>
      </c>
      <c r="CR49"/>
    </row>
    <row r="50" spans="2:96" s="339" customFormat="1" ht="15.75" customHeight="1" x14ac:dyDescent="0.15">
      <c r="B50" s="59"/>
      <c r="D50" s="130">
        <v>21</v>
      </c>
      <c r="AA50" s="28" t="s">
        <v>701</v>
      </c>
      <c r="AB50" s="31" t="s">
        <v>923</v>
      </c>
      <c r="AC50" s="247" t="s">
        <v>1440</v>
      </c>
      <c r="AD50" s="314" t="s">
        <v>110</v>
      </c>
      <c r="AE50" s="315" t="s">
        <v>1511</v>
      </c>
      <c r="AF50" s="316" t="s">
        <v>1432</v>
      </c>
      <c r="AG50" s="248" t="s">
        <v>1512</v>
      </c>
      <c r="AH50" s="248" t="s">
        <v>1513</v>
      </c>
      <c r="AI50" s="248" t="s">
        <v>100</v>
      </c>
      <c r="AJ50" s="317">
        <v>2.33333333325572</v>
      </c>
      <c r="AK50" s="315" t="s">
        <v>1514</v>
      </c>
      <c r="AL50" s="315">
        <v>0</v>
      </c>
      <c r="AM50" s="315">
        <v>0</v>
      </c>
      <c r="AN50" s="42">
        <f t="shared" si="1"/>
        <v>1</v>
      </c>
      <c r="AO50" s="318">
        <v>0</v>
      </c>
      <c r="AP50" s="318">
        <v>0</v>
      </c>
      <c r="AQ50" s="318">
        <v>1</v>
      </c>
      <c r="AR50" s="318">
        <v>0</v>
      </c>
      <c r="AS50" s="318">
        <v>0</v>
      </c>
      <c r="AT50" s="318">
        <v>1</v>
      </c>
      <c r="AU50" s="42">
        <f t="shared" si="2"/>
        <v>0</v>
      </c>
      <c r="AV50" s="318">
        <v>0</v>
      </c>
      <c r="AW50" s="318">
        <v>350</v>
      </c>
      <c r="AX50" s="315"/>
      <c r="AY50" s="636"/>
      <c r="AZ50" s="319"/>
      <c r="BA50" s="319"/>
      <c r="BB50" s="318">
        <v>1</v>
      </c>
      <c r="BC50" s="9"/>
      <c r="BD50" s="9"/>
      <c r="BE50" s="50">
        <f t="shared" si="3"/>
        <v>0</v>
      </c>
      <c r="BF50" s="50">
        <f t="shared" si="4"/>
        <v>0</v>
      </c>
      <c r="BG50" s="50">
        <f t="shared" si="5"/>
        <v>2.33333333325572</v>
      </c>
      <c r="BH50" s="50">
        <f t="shared" si="6"/>
        <v>1</v>
      </c>
      <c r="BI50" s="50">
        <f t="shared" si="7"/>
        <v>0</v>
      </c>
      <c r="BJ50" s="50">
        <f t="shared" si="8"/>
        <v>0</v>
      </c>
      <c r="BK50" s="50">
        <f t="shared" si="9"/>
        <v>0</v>
      </c>
      <c r="BL50" s="50">
        <f t="shared" si="10"/>
        <v>0</v>
      </c>
      <c r="BM50" s="50">
        <f t="shared" si="11"/>
        <v>2.33333333325572</v>
      </c>
      <c r="BN50" s="50">
        <f t="shared" si="12"/>
        <v>1</v>
      </c>
      <c r="BO50" s="50">
        <f t="shared" si="13"/>
        <v>0</v>
      </c>
      <c r="BP50" s="50">
        <f t="shared" si="14"/>
        <v>0</v>
      </c>
      <c r="BQ50" s="4" t="str">
        <f t="shared" si="15"/>
        <v>10,44 2025.02.17</v>
      </c>
      <c r="BR50" s="4" t="str">
        <f t="shared" si="16"/>
        <v>13,04 2025.02.17</v>
      </c>
      <c r="BS50" s="4" t="str">
        <f t="shared" si="17"/>
        <v>П</v>
      </c>
      <c r="BT50" s="10">
        <f t="shared" si="18"/>
        <v>2.33333333325572</v>
      </c>
      <c r="BU50" s="42">
        <f t="shared" si="19"/>
        <v>1</v>
      </c>
      <c r="BV50" s="11">
        <f t="shared" si="20"/>
        <v>0</v>
      </c>
      <c r="BW50" s="11">
        <f t="shared" si="21"/>
        <v>0</v>
      </c>
      <c r="BX50" s="11">
        <f t="shared" si="22"/>
        <v>1</v>
      </c>
      <c r="BY50" s="11">
        <f t="shared" si="23"/>
        <v>0</v>
      </c>
      <c r="BZ50" s="11">
        <f t="shared" si="24"/>
        <v>0</v>
      </c>
      <c r="CA50" s="11">
        <f t="shared" si="25"/>
        <v>1</v>
      </c>
      <c r="CB50" s="42">
        <f t="shared" si="26"/>
        <v>0</v>
      </c>
      <c r="CC50" s="11">
        <f t="shared" si="27"/>
        <v>0</v>
      </c>
      <c r="CD50" s="11">
        <f t="shared" si="28"/>
        <v>1</v>
      </c>
      <c r="CE50" s="4"/>
      <c r="CF50" s="50">
        <f t="shared" si="29"/>
        <v>0</v>
      </c>
      <c r="CG50" s="50">
        <f t="shared" si="30"/>
        <v>0</v>
      </c>
      <c r="CH50" s="50">
        <f t="shared" si="31"/>
        <v>2.33333333325572</v>
      </c>
      <c r="CI50" s="50">
        <f t="shared" si="32"/>
        <v>1</v>
      </c>
      <c r="CJ50" s="50">
        <f t="shared" si="33"/>
        <v>0</v>
      </c>
      <c r="CK50" s="50">
        <f t="shared" si="34"/>
        <v>0</v>
      </c>
      <c r="CL50" s="50">
        <f t="shared" si="35"/>
        <v>0</v>
      </c>
      <c r="CM50" s="50">
        <f t="shared" si="36"/>
        <v>0</v>
      </c>
      <c r="CN50" s="50">
        <f t="shared" si="37"/>
        <v>2.33333333325572</v>
      </c>
      <c r="CO50" s="50">
        <f t="shared" si="38"/>
        <v>1</v>
      </c>
      <c r="CP50" s="50">
        <f t="shared" si="39"/>
        <v>0</v>
      </c>
      <c r="CQ50" s="50">
        <f t="shared" si="40"/>
        <v>0</v>
      </c>
      <c r="CR50"/>
    </row>
    <row r="51" spans="2:96" s="340" customFormat="1" ht="15.75" customHeight="1" x14ac:dyDescent="0.15">
      <c r="B51" s="59"/>
      <c r="D51" s="130">
        <v>21</v>
      </c>
      <c r="AA51" s="28" t="s">
        <v>701</v>
      </c>
      <c r="AB51" s="31" t="s">
        <v>924</v>
      </c>
      <c r="AC51" s="247" t="s">
        <v>1440</v>
      </c>
      <c r="AD51" s="314" t="s">
        <v>110</v>
      </c>
      <c r="AE51" s="315" t="s">
        <v>1515</v>
      </c>
      <c r="AF51" s="316" t="s">
        <v>1432</v>
      </c>
      <c r="AG51" s="248" t="s">
        <v>1516</v>
      </c>
      <c r="AH51" s="248" t="s">
        <v>1517</v>
      </c>
      <c r="AI51" s="248" t="s">
        <v>100</v>
      </c>
      <c r="AJ51" s="317">
        <v>4.4000000000232804</v>
      </c>
      <c r="AK51" s="315" t="s">
        <v>1518</v>
      </c>
      <c r="AL51" s="315">
        <v>0</v>
      </c>
      <c r="AM51" s="315">
        <v>0</v>
      </c>
      <c r="AN51" s="42">
        <f t="shared" si="1"/>
        <v>1</v>
      </c>
      <c r="AO51" s="318">
        <v>0</v>
      </c>
      <c r="AP51" s="318">
        <v>0</v>
      </c>
      <c r="AQ51" s="318">
        <v>1</v>
      </c>
      <c r="AR51" s="318">
        <v>0</v>
      </c>
      <c r="AS51" s="318">
        <v>0</v>
      </c>
      <c r="AT51" s="318">
        <v>1</v>
      </c>
      <c r="AU51" s="42">
        <f t="shared" si="2"/>
        <v>0</v>
      </c>
      <c r="AV51" s="318">
        <v>0</v>
      </c>
      <c r="AW51" s="318">
        <v>600</v>
      </c>
      <c r="AX51" s="315"/>
      <c r="AY51" s="636"/>
      <c r="AZ51" s="319"/>
      <c r="BA51" s="319"/>
      <c r="BB51" s="318">
        <v>1</v>
      </c>
      <c r="BC51" s="9"/>
      <c r="BD51" s="9"/>
      <c r="BE51" s="50">
        <f t="shared" si="3"/>
        <v>0</v>
      </c>
      <c r="BF51" s="50">
        <f t="shared" si="4"/>
        <v>0</v>
      </c>
      <c r="BG51" s="50">
        <f t="shared" si="5"/>
        <v>4.4000000000232804</v>
      </c>
      <c r="BH51" s="50">
        <f t="shared" si="6"/>
        <v>1</v>
      </c>
      <c r="BI51" s="50">
        <f t="shared" si="7"/>
        <v>0</v>
      </c>
      <c r="BJ51" s="50">
        <f t="shared" si="8"/>
        <v>0</v>
      </c>
      <c r="BK51" s="50">
        <f t="shared" si="9"/>
        <v>0</v>
      </c>
      <c r="BL51" s="50">
        <f t="shared" si="10"/>
        <v>0</v>
      </c>
      <c r="BM51" s="50">
        <f t="shared" si="11"/>
        <v>4.4000000000232804</v>
      </c>
      <c r="BN51" s="50">
        <f t="shared" si="12"/>
        <v>1</v>
      </c>
      <c r="BO51" s="50">
        <f t="shared" si="13"/>
        <v>0</v>
      </c>
      <c r="BP51" s="50">
        <f t="shared" si="14"/>
        <v>0</v>
      </c>
      <c r="BQ51" s="4" t="str">
        <f t="shared" si="15"/>
        <v>15,19 2025.02.17</v>
      </c>
      <c r="BR51" s="4" t="str">
        <f t="shared" si="16"/>
        <v>19,43 2025.02.17</v>
      </c>
      <c r="BS51" s="4" t="str">
        <f t="shared" si="17"/>
        <v>П</v>
      </c>
      <c r="BT51" s="10">
        <f t="shared" si="18"/>
        <v>4.4000000000232804</v>
      </c>
      <c r="BU51" s="42">
        <f t="shared" si="19"/>
        <v>1</v>
      </c>
      <c r="BV51" s="11">
        <f t="shared" si="20"/>
        <v>0</v>
      </c>
      <c r="BW51" s="11">
        <f t="shared" si="21"/>
        <v>0</v>
      </c>
      <c r="BX51" s="11">
        <f t="shared" si="22"/>
        <v>1</v>
      </c>
      <c r="BY51" s="11">
        <f t="shared" si="23"/>
        <v>0</v>
      </c>
      <c r="BZ51" s="11">
        <f t="shared" si="24"/>
        <v>0</v>
      </c>
      <c r="CA51" s="11">
        <f t="shared" si="25"/>
        <v>1</v>
      </c>
      <c r="CB51" s="42">
        <f t="shared" si="26"/>
        <v>0</v>
      </c>
      <c r="CC51" s="11">
        <f t="shared" si="27"/>
        <v>0</v>
      </c>
      <c r="CD51" s="11">
        <f t="shared" si="28"/>
        <v>1</v>
      </c>
      <c r="CE51" s="4"/>
      <c r="CF51" s="50">
        <f t="shared" si="29"/>
        <v>0</v>
      </c>
      <c r="CG51" s="50">
        <f t="shared" si="30"/>
        <v>0</v>
      </c>
      <c r="CH51" s="50">
        <f t="shared" si="31"/>
        <v>4.4000000000232804</v>
      </c>
      <c r="CI51" s="50">
        <f t="shared" si="32"/>
        <v>1</v>
      </c>
      <c r="CJ51" s="50">
        <f t="shared" si="33"/>
        <v>0</v>
      </c>
      <c r="CK51" s="50">
        <f t="shared" si="34"/>
        <v>0</v>
      </c>
      <c r="CL51" s="50">
        <f t="shared" si="35"/>
        <v>0</v>
      </c>
      <c r="CM51" s="50">
        <f t="shared" si="36"/>
        <v>0</v>
      </c>
      <c r="CN51" s="50">
        <f t="shared" si="37"/>
        <v>4.4000000000232804</v>
      </c>
      <c r="CO51" s="50">
        <f t="shared" si="38"/>
        <v>1</v>
      </c>
      <c r="CP51" s="50">
        <f t="shared" si="39"/>
        <v>0</v>
      </c>
      <c r="CQ51" s="50">
        <f t="shared" si="40"/>
        <v>0</v>
      </c>
      <c r="CR51"/>
    </row>
    <row r="52" spans="2:96" s="341" customFormat="1" ht="15.75" customHeight="1" x14ac:dyDescent="0.15">
      <c r="B52" s="59"/>
      <c r="D52" s="130">
        <v>21</v>
      </c>
      <c r="AA52" s="28" t="s">
        <v>701</v>
      </c>
      <c r="AB52" s="31" t="s">
        <v>925</v>
      </c>
      <c r="AC52" s="247" t="s">
        <v>1445</v>
      </c>
      <c r="AD52" s="314" t="s">
        <v>110</v>
      </c>
      <c r="AE52" s="315" t="s">
        <v>1519</v>
      </c>
      <c r="AF52" s="316" t="s">
        <v>1432</v>
      </c>
      <c r="AG52" s="248" t="s">
        <v>1520</v>
      </c>
      <c r="AH52" s="248" t="s">
        <v>1520</v>
      </c>
      <c r="AI52" s="248" t="s">
        <v>122</v>
      </c>
      <c r="AJ52" s="317">
        <v>0</v>
      </c>
      <c r="AK52" s="315" t="s">
        <v>1521</v>
      </c>
      <c r="AL52" s="315">
        <v>0</v>
      </c>
      <c r="AM52" s="315">
        <v>0</v>
      </c>
      <c r="AN52" s="42">
        <f t="shared" si="1"/>
        <v>5</v>
      </c>
      <c r="AO52" s="318">
        <v>0</v>
      </c>
      <c r="AP52" s="318">
        <v>0</v>
      </c>
      <c r="AQ52" s="318">
        <v>5</v>
      </c>
      <c r="AR52" s="318">
        <v>0</v>
      </c>
      <c r="AS52" s="318">
        <v>0</v>
      </c>
      <c r="AT52" s="318">
        <v>5</v>
      </c>
      <c r="AU52" s="42">
        <f t="shared" si="2"/>
        <v>0</v>
      </c>
      <c r="AV52" s="318">
        <v>0</v>
      </c>
      <c r="AW52" s="318">
        <v>487</v>
      </c>
      <c r="AX52" s="315"/>
      <c r="AY52" s="636" t="s">
        <v>2047</v>
      </c>
      <c r="AZ52" s="319" t="s">
        <v>201</v>
      </c>
      <c r="BA52" s="319" t="s">
        <v>2041</v>
      </c>
      <c r="BB52" s="318">
        <v>0</v>
      </c>
      <c r="BC52" s="9"/>
      <c r="BD52" s="9"/>
      <c r="BE52" s="50">
        <f t="shared" si="3"/>
        <v>0</v>
      </c>
      <c r="BF52" s="50">
        <f t="shared" si="4"/>
        <v>0</v>
      </c>
      <c r="BG52" s="50">
        <f t="shared" si="5"/>
        <v>0</v>
      </c>
      <c r="BH52" s="50">
        <f t="shared" si="6"/>
        <v>0</v>
      </c>
      <c r="BI52" s="50">
        <f t="shared" si="7"/>
        <v>0</v>
      </c>
      <c r="BJ52" s="50">
        <f t="shared" si="8"/>
        <v>0</v>
      </c>
      <c r="BK52" s="50">
        <f t="shared" si="9"/>
        <v>0</v>
      </c>
      <c r="BL52" s="50">
        <f t="shared" si="10"/>
        <v>0</v>
      </c>
      <c r="BM52" s="50">
        <f t="shared" si="11"/>
        <v>0</v>
      </c>
      <c r="BN52" s="50">
        <f t="shared" si="12"/>
        <v>0</v>
      </c>
      <c r="BO52" s="50">
        <f t="shared" si="13"/>
        <v>0</v>
      </c>
      <c r="BP52" s="50">
        <f t="shared" si="14"/>
        <v>0</v>
      </c>
      <c r="BQ52" s="4" t="str">
        <f t="shared" si="15"/>
        <v>14,48 2025.02.19</v>
      </c>
      <c r="BR52" s="4" t="str">
        <f t="shared" si="16"/>
        <v>14,48 2025.02.19</v>
      </c>
      <c r="BS52" s="4" t="str">
        <f t="shared" si="17"/>
        <v>В</v>
      </c>
      <c r="BT52" s="10">
        <f t="shared" si="18"/>
        <v>0</v>
      </c>
      <c r="BU52" s="42">
        <f t="shared" si="19"/>
        <v>5</v>
      </c>
      <c r="BV52" s="11">
        <f t="shared" si="20"/>
        <v>0</v>
      </c>
      <c r="BW52" s="11">
        <f t="shared" si="21"/>
        <v>0</v>
      </c>
      <c r="BX52" s="11">
        <f t="shared" si="22"/>
        <v>5</v>
      </c>
      <c r="BY52" s="11">
        <f t="shared" si="23"/>
        <v>0</v>
      </c>
      <c r="BZ52" s="11">
        <f t="shared" si="24"/>
        <v>0</v>
      </c>
      <c r="CA52" s="11">
        <f t="shared" si="25"/>
        <v>5</v>
      </c>
      <c r="CB52" s="42">
        <f t="shared" si="26"/>
        <v>0</v>
      </c>
      <c r="CC52" s="11">
        <f t="shared" si="27"/>
        <v>0</v>
      </c>
      <c r="CD52" s="11">
        <f t="shared" si="28"/>
        <v>0</v>
      </c>
      <c r="CE52" s="4"/>
      <c r="CF52" s="50">
        <f t="shared" si="29"/>
        <v>0</v>
      </c>
      <c r="CG52" s="50">
        <f t="shared" si="30"/>
        <v>0</v>
      </c>
      <c r="CH52" s="50">
        <f t="shared" si="31"/>
        <v>0</v>
      </c>
      <c r="CI52" s="50">
        <f t="shared" si="32"/>
        <v>0</v>
      </c>
      <c r="CJ52" s="50">
        <f t="shared" si="33"/>
        <v>0</v>
      </c>
      <c r="CK52" s="50">
        <f t="shared" si="34"/>
        <v>0</v>
      </c>
      <c r="CL52" s="50">
        <f t="shared" si="35"/>
        <v>0</v>
      </c>
      <c r="CM52" s="50">
        <f t="shared" si="36"/>
        <v>0</v>
      </c>
      <c r="CN52" s="50">
        <f t="shared" si="37"/>
        <v>0</v>
      </c>
      <c r="CO52" s="50">
        <f t="shared" si="38"/>
        <v>0</v>
      </c>
      <c r="CP52" s="50">
        <f t="shared" si="39"/>
        <v>0</v>
      </c>
      <c r="CQ52" s="50">
        <f t="shared" si="40"/>
        <v>0</v>
      </c>
      <c r="CR52"/>
    </row>
    <row r="53" spans="2:96" s="342" customFormat="1" ht="15.75" customHeight="1" x14ac:dyDescent="0.15">
      <c r="B53" s="59"/>
      <c r="D53" s="130">
        <v>21</v>
      </c>
      <c r="AA53" s="28" t="s">
        <v>701</v>
      </c>
      <c r="AB53" s="31" t="s">
        <v>926</v>
      </c>
      <c r="AC53" s="247" t="s">
        <v>1445</v>
      </c>
      <c r="AD53" s="314" t="s">
        <v>110</v>
      </c>
      <c r="AE53" s="315" t="s">
        <v>1522</v>
      </c>
      <c r="AF53" s="316" t="s">
        <v>1432</v>
      </c>
      <c r="AG53" s="248" t="s">
        <v>1523</v>
      </c>
      <c r="AH53" s="248" t="s">
        <v>1524</v>
      </c>
      <c r="AI53" s="248" t="s">
        <v>100</v>
      </c>
      <c r="AJ53" s="317">
        <v>2.2666666667209898</v>
      </c>
      <c r="AK53" s="315" t="s">
        <v>1525</v>
      </c>
      <c r="AL53" s="315">
        <v>0</v>
      </c>
      <c r="AM53" s="315">
        <v>0</v>
      </c>
      <c r="AN53" s="42">
        <f t="shared" si="1"/>
        <v>1</v>
      </c>
      <c r="AO53" s="318">
        <v>0</v>
      </c>
      <c r="AP53" s="318">
        <v>0</v>
      </c>
      <c r="AQ53" s="318">
        <v>1</v>
      </c>
      <c r="AR53" s="318">
        <v>0</v>
      </c>
      <c r="AS53" s="318">
        <v>0</v>
      </c>
      <c r="AT53" s="318">
        <v>1</v>
      </c>
      <c r="AU53" s="42">
        <f t="shared" si="2"/>
        <v>0</v>
      </c>
      <c r="AV53" s="318">
        <v>0</v>
      </c>
      <c r="AW53" s="318">
        <v>510</v>
      </c>
      <c r="AX53" s="315"/>
      <c r="AY53" s="636"/>
      <c r="AZ53" s="319"/>
      <c r="BA53" s="319"/>
      <c r="BB53" s="318">
        <v>1</v>
      </c>
      <c r="BC53" s="9"/>
      <c r="BD53" s="9"/>
      <c r="BE53" s="50">
        <f t="shared" si="3"/>
        <v>0</v>
      </c>
      <c r="BF53" s="50">
        <f t="shared" si="4"/>
        <v>0</v>
      </c>
      <c r="BG53" s="50">
        <f t="shared" si="5"/>
        <v>2.2666666667209898</v>
      </c>
      <c r="BH53" s="50">
        <f t="shared" si="6"/>
        <v>1</v>
      </c>
      <c r="BI53" s="50">
        <f t="shared" si="7"/>
        <v>0</v>
      </c>
      <c r="BJ53" s="50">
        <f t="shared" si="8"/>
        <v>0</v>
      </c>
      <c r="BK53" s="50">
        <f t="shared" si="9"/>
        <v>0</v>
      </c>
      <c r="BL53" s="50">
        <f t="shared" si="10"/>
        <v>0</v>
      </c>
      <c r="BM53" s="50">
        <f t="shared" si="11"/>
        <v>2.2666666667209898</v>
      </c>
      <c r="BN53" s="50">
        <f t="shared" si="12"/>
        <v>1</v>
      </c>
      <c r="BO53" s="50">
        <f t="shared" si="13"/>
        <v>0</v>
      </c>
      <c r="BP53" s="50">
        <f t="shared" si="14"/>
        <v>0</v>
      </c>
      <c r="BQ53" s="4" t="str">
        <f t="shared" si="15"/>
        <v>15,44 2025.02.25</v>
      </c>
      <c r="BR53" s="4" t="str">
        <f t="shared" si="16"/>
        <v>18,00 2025.02.25</v>
      </c>
      <c r="BS53" s="4" t="str">
        <f t="shared" si="17"/>
        <v>П</v>
      </c>
      <c r="BT53" s="10">
        <f t="shared" si="18"/>
        <v>2.2666666667209898</v>
      </c>
      <c r="BU53" s="42">
        <f t="shared" si="19"/>
        <v>1</v>
      </c>
      <c r="BV53" s="11">
        <f t="shared" si="20"/>
        <v>0</v>
      </c>
      <c r="BW53" s="11">
        <f t="shared" si="21"/>
        <v>0</v>
      </c>
      <c r="BX53" s="11">
        <f t="shared" si="22"/>
        <v>1</v>
      </c>
      <c r="BY53" s="11">
        <f t="shared" si="23"/>
        <v>0</v>
      </c>
      <c r="BZ53" s="11">
        <f t="shared" si="24"/>
        <v>0</v>
      </c>
      <c r="CA53" s="11">
        <f t="shared" si="25"/>
        <v>1</v>
      </c>
      <c r="CB53" s="42">
        <f t="shared" si="26"/>
        <v>0</v>
      </c>
      <c r="CC53" s="11">
        <f t="shared" si="27"/>
        <v>0</v>
      </c>
      <c r="CD53" s="11">
        <f t="shared" si="28"/>
        <v>1</v>
      </c>
      <c r="CE53" s="4"/>
      <c r="CF53" s="50">
        <f t="shared" si="29"/>
        <v>0</v>
      </c>
      <c r="CG53" s="50">
        <f t="shared" si="30"/>
        <v>0</v>
      </c>
      <c r="CH53" s="50">
        <f t="shared" si="31"/>
        <v>2.2666666667209898</v>
      </c>
      <c r="CI53" s="50">
        <f t="shared" si="32"/>
        <v>1</v>
      </c>
      <c r="CJ53" s="50">
        <f t="shared" si="33"/>
        <v>0</v>
      </c>
      <c r="CK53" s="50">
        <f t="shared" si="34"/>
        <v>0</v>
      </c>
      <c r="CL53" s="50">
        <f t="shared" si="35"/>
        <v>0</v>
      </c>
      <c r="CM53" s="50">
        <f t="shared" si="36"/>
        <v>0</v>
      </c>
      <c r="CN53" s="50">
        <f t="shared" si="37"/>
        <v>2.2666666667209898</v>
      </c>
      <c r="CO53" s="50">
        <f t="shared" si="38"/>
        <v>1</v>
      </c>
      <c r="CP53" s="50">
        <f t="shared" si="39"/>
        <v>0</v>
      </c>
      <c r="CQ53" s="50">
        <f t="shared" si="40"/>
        <v>0</v>
      </c>
      <c r="CR53"/>
    </row>
    <row r="54" spans="2:96" s="343" customFormat="1" ht="15.75" customHeight="1" x14ac:dyDescent="0.15">
      <c r="B54" s="59"/>
      <c r="D54" s="130">
        <v>21</v>
      </c>
      <c r="AA54" s="28" t="s">
        <v>701</v>
      </c>
      <c r="AB54" s="31" t="s">
        <v>927</v>
      </c>
      <c r="AC54" s="247" t="s">
        <v>1440</v>
      </c>
      <c r="AD54" s="314" t="s">
        <v>110</v>
      </c>
      <c r="AE54" s="315" t="s">
        <v>1526</v>
      </c>
      <c r="AF54" s="316" t="s">
        <v>1432</v>
      </c>
      <c r="AG54" s="248" t="s">
        <v>1527</v>
      </c>
      <c r="AH54" s="248" t="s">
        <v>1528</v>
      </c>
      <c r="AI54" s="248" t="s">
        <v>100</v>
      </c>
      <c r="AJ54" s="317">
        <v>1.1166666666395</v>
      </c>
      <c r="AK54" s="315" t="s">
        <v>1529</v>
      </c>
      <c r="AL54" s="315">
        <v>0</v>
      </c>
      <c r="AM54" s="315">
        <v>0</v>
      </c>
      <c r="AN54" s="42">
        <f t="shared" si="1"/>
        <v>1</v>
      </c>
      <c r="AO54" s="318">
        <v>0</v>
      </c>
      <c r="AP54" s="318">
        <v>0</v>
      </c>
      <c r="AQ54" s="318">
        <v>1</v>
      </c>
      <c r="AR54" s="318">
        <v>0</v>
      </c>
      <c r="AS54" s="318">
        <v>0</v>
      </c>
      <c r="AT54" s="318">
        <v>1</v>
      </c>
      <c r="AU54" s="42">
        <f t="shared" si="2"/>
        <v>0</v>
      </c>
      <c r="AV54" s="318">
        <v>0</v>
      </c>
      <c r="AW54" s="318">
        <v>50</v>
      </c>
      <c r="AX54" s="315"/>
      <c r="AY54" s="636"/>
      <c r="AZ54" s="319"/>
      <c r="BA54" s="319"/>
      <c r="BB54" s="318">
        <v>1</v>
      </c>
      <c r="BC54" s="9"/>
      <c r="BD54" s="9"/>
      <c r="BE54" s="50">
        <f t="shared" si="3"/>
        <v>0</v>
      </c>
      <c r="BF54" s="50">
        <f t="shared" si="4"/>
        <v>0</v>
      </c>
      <c r="BG54" s="50">
        <f t="shared" si="5"/>
        <v>1.1166666666395</v>
      </c>
      <c r="BH54" s="50">
        <f t="shared" si="6"/>
        <v>1</v>
      </c>
      <c r="BI54" s="50">
        <f t="shared" si="7"/>
        <v>0</v>
      </c>
      <c r="BJ54" s="50">
        <f t="shared" si="8"/>
        <v>0</v>
      </c>
      <c r="BK54" s="50">
        <f t="shared" si="9"/>
        <v>0</v>
      </c>
      <c r="BL54" s="50">
        <f t="shared" si="10"/>
        <v>0</v>
      </c>
      <c r="BM54" s="50">
        <f t="shared" si="11"/>
        <v>1.1166666666395</v>
      </c>
      <c r="BN54" s="50">
        <f t="shared" si="12"/>
        <v>1</v>
      </c>
      <c r="BO54" s="50">
        <f t="shared" si="13"/>
        <v>0</v>
      </c>
      <c r="BP54" s="50">
        <f t="shared" si="14"/>
        <v>0</v>
      </c>
      <c r="BQ54" s="4" t="str">
        <f t="shared" si="15"/>
        <v>09,58 2025.03.04</v>
      </c>
      <c r="BR54" s="4" t="str">
        <f t="shared" si="16"/>
        <v>11,05 2025.03.04</v>
      </c>
      <c r="BS54" s="4" t="str">
        <f t="shared" si="17"/>
        <v>П</v>
      </c>
      <c r="BT54" s="10">
        <f t="shared" si="18"/>
        <v>1.1166666666395</v>
      </c>
      <c r="BU54" s="42">
        <f t="shared" si="19"/>
        <v>1</v>
      </c>
      <c r="BV54" s="11">
        <f t="shared" si="20"/>
        <v>0</v>
      </c>
      <c r="BW54" s="11">
        <f t="shared" si="21"/>
        <v>0</v>
      </c>
      <c r="BX54" s="11">
        <f t="shared" si="22"/>
        <v>1</v>
      </c>
      <c r="BY54" s="11">
        <f t="shared" si="23"/>
        <v>0</v>
      </c>
      <c r="BZ54" s="11">
        <f t="shared" si="24"/>
        <v>0</v>
      </c>
      <c r="CA54" s="11">
        <f t="shared" si="25"/>
        <v>1</v>
      </c>
      <c r="CB54" s="42">
        <f t="shared" si="26"/>
        <v>0</v>
      </c>
      <c r="CC54" s="11">
        <f t="shared" si="27"/>
        <v>0</v>
      </c>
      <c r="CD54" s="11">
        <f t="shared" si="28"/>
        <v>1</v>
      </c>
      <c r="CE54" s="4"/>
      <c r="CF54" s="50">
        <f t="shared" si="29"/>
        <v>0</v>
      </c>
      <c r="CG54" s="50">
        <f t="shared" si="30"/>
        <v>0</v>
      </c>
      <c r="CH54" s="50">
        <f t="shared" si="31"/>
        <v>1.1166666666395</v>
      </c>
      <c r="CI54" s="50">
        <f t="shared" si="32"/>
        <v>1</v>
      </c>
      <c r="CJ54" s="50">
        <f t="shared" si="33"/>
        <v>0</v>
      </c>
      <c r="CK54" s="50">
        <f t="shared" si="34"/>
        <v>0</v>
      </c>
      <c r="CL54" s="50">
        <f t="shared" si="35"/>
        <v>0</v>
      </c>
      <c r="CM54" s="50">
        <f t="shared" si="36"/>
        <v>0</v>
      </c>
      <c r="CN54" s="50">
        <f t="shared" si="37"/>
        <v>1.1166666666395</v>
      </c>
      <c r="CO54" s="50">
        <f t="shared" si="38"/>
        <v>1</v>
      </c>
      <c r="CP54" s="50">
        <f t="shared" si="39"/>
        <v>0</v>
      </c>
      <c r="CQ54" s="50">
        <f t="shared" si="40"/>
        <v>0</v>
      </c>
      <c r="CR54"/>
    </row>
    <row r="55" spans="2:96" s="344" customFormat="1" ht="15.75" customHeight="1" x14ac:dyDescent="0.15">
      <c r="B55" s="59"/>
      <c r="D55" s="130">
        <v>21</v>
      </c>
      <c r="AA55" s="28" t="s">
        <v>701</v>
      </c>
      <c r="AB55" s="31" t="s">
        <v>928</v>
      </c>
      <c r="AC55" s="247" t="s">
        <v>1430</v>
      </c>
      <c r="AD55" s="314" t="s">
        <v>110</v>
      </c>
      <c r="AE55" s="315" t="s">
        <v>1530</v>
      </c>
      <c r="AF55" s="316" t="s">
        <v>1432</v>
      </c>
      <c r="AG55" s="248" t="s">
        <v>1531</v>
      </c>
      <c r="AH55" s="248" t="s">
        <v>1532</v>
      </c>
      <c r="AI55" s="248" t="s">
        <v>100</v>
      </c>
      <c r="AJ55" s="317">
        <v>7.8166666666511402</v>
      </c>
      <c r="AK55" s="315" t="s">
        <v>1533</v>
      </c>
      <c r="AL55" s="315">
        <v>0</v>
      </c>
      <c r="AM55" s="315">
        <v>0</v>
      </c>
      <c r="AN55" s="42">
        <f t="shared" si="1"/>
        <v>1</v>
      </c>
      <c r="AO55" s="318">
        <v>0</v>
      </c>
      <c r="AP55" s="318">
        <v>0</v>
      </c>
      <c r="AQ55" s="318">
        <v>1</v>
      </c>
      <c r="AR55" s="318">
        <v>0</v>
      </c>
      <c r="AS55" s="318">
        <v>0</v>
      </c>
      <c r="AT55" s="318">
        <v>1</v>
      </c>
      <c r="AU55" s="42">
        <f t="shared" si="2"/>
        <v>0</v>
      </c>
      <c r="AV55" s="318">
        <v>0</v>
      </c>
      <c r="AW55" s="318">
        <v>550</v>
      </c>
      <c r="AX55" s="315"/>
      <c r="AY55" s="636"/>
      <c r="AZ55" s="319"/>
      <c r="BA55" s="319"/>
      <c r="BB55" s="318">
        <v>1</v>
      </c>
      <c r="BC55" s="9"/>
      <c r="BD55" s="9"/>
      <c r="BE55" s="50">
        <f t="shared" si="3"/>
        <v>0</v>
      </c>
      <c r="BF55" s="50">
        <f t="shared" si="4"/>
        <v>0</v>
      </c>
      <c r="BG55" s="50">
        <f t="shared" si="5"/>
        <v>7.8166666666511402</v>
      </c>
      <c r="BH55" s="50">
        <f t="shared" si="6"/>
        <v>1</v>
      </c>
      <c r="BI55" s="50">
        <f t="shared" si="7"/>
        <v>0</v>
      </c>
      <c r="BJ55" s="50">
        <f t="shared" si="8"/>
        <v>0</v>
      </c>
      <c r="BK55" s="50">
        <f t="shared" si="9"/>
        <v>0</v>
      </c>
      <c r="BL55" s="50">
        <f t="shared" si="10"/>
        <v>0</v>
      </c>
      <c r="BM55" s="50">
        <f t="shared" si="11"/>
        <v>7.8166666666511402</v>
      </c>
      <c r="BN55" s="50">
        <f t="shared" si="12"/>
        <v>1</v>
      </c>
      <c r="BO55" s="50">
        <f t="shared" si="13"/>
        <v>0</v>
      </c>
      <c r="BP55" s="50">
        <f t="shared" si="14"/>
        <v>0</v>
      </c>
      <c r="BQ55" s="4" t="str">
        <f t="shared" si="15"/>
        <v>09,11 2025.03.05</v>
      </c>
      <c r="BR55" s="4" t="str">
        <f t="shared" si="16"/>
        <v>17,00 2025.03.05</v>
      </c>
      <c r="BS55" s="4" t="str">
        <f t="shared" si="17"/>
        <v>П</v>
      </c>
      <c r="BT55" s="10">
        <f t="shared" si="18"/>
        <v>7.8166666666511402</v>
      </c>
      <c r="BU55" s="42">
        <f t="shared" si="19"/>
        <v>1</v>
      </c>
      <c r="BV55" s="11">
        <f t="shared" si="20"/>
        <v>0</v>
      </c>
      <c r="BW55" s="11">
        <f t="shared" si="21"/>
        <v>0</v>
      </c>
      <c r="BX55" s="11">
        <f t="shared" si="22"/>
        <v>1</v>
      </c>
      <c r="BY55" s="11">
        <f t="shared" si="23"/>
        <v>0</v>
      </c>
      <c r="BZ55" s="11">
        <f t="shared" si="24"/>
        <v>0</v>
      </c>
      <c r="CA55" s="11">
        <f t="shared" si="25"/>
        <v>1</v>
      </c>
      <c r="CB55" s="42">
        <f t="shared" si="26"/>
        <v>0</v>
      </c>
      <c r="CC55" s="11">
        <f t="shared" si="27"/>
        <v>0</v>
      </c>
      <c r="CD55" s="11">
        <f t="shared" si="28"/>
        <v>1</v>
      </c>
      <c r="CE55" s="4"/>
      <c r="CF55" s="50">
        <f t="shared" si="29"/>
        <v>0</v>
      </c>
      <c r="CG55" s="50">
        <f t="shared" si="30"/>
        <v>0</v>
      </c>
      <c r="CH55" s="50">
        <f t="shared" si="31"/>
        <v>7.8166666666511402</v>
      </c>
      <c r="CI55" s="50">
        <f t="shared" si="32"/>
        <v>1</v>
      </c>
      <c r="CJ55" s="50">
        <f t="shared" si="33"/>
        <v>0</v>
      </c>
      <c r="CK55" s="50">
        <f t="shared" si="34"/>
        <v>0</v>
      </c>
      <c r="CL55" s="50">
        <f t="shared" si="35"/>
        <v>0</v>
      </c>
      <c r="CM55" s="50">
        <f t="shared" si="36"/>
        <v>0</v>
      </c>
      <c r="CN55" s="50">
        <f t="shared" si="37"/>
        <v>7.8166666666511402</v>
      </c>
      <c r="CO55" s="50">
        <f t="shared" si="38"/>
        <v>1</v>
      </c>
      <c r="CP55" s="50">
        <f t="shared" si="39"/>
        <v>0</v>
      </c>
      <c r="CQ55" s="50">
        <f t="shared" si="40"/>
        <v>0</v>
      </c>
      <c r="CR55"/>
    </row>
    <row r="56" spans="2:96" s="345" customFormat="1" ht="15.75" customHeight="1" x14ac:dyDescent="0.15">
      <c r="B56" s="59"/>
      <c r="D56" s="130">
        <v>21</v>
      </c>
      <c r="AA56" s="28" t="s">
        <v>701</v>
      </c>
      <c r="AB56" s="31" t="s">
        <v>929</v>
      </c>
      <c r="AC56" s="247" t="s">
        <v>1430</v>
      </c>
      <c r="AD56" s="314" t="s">
        <v>110</v>
      </c>
      <c r="AE56" s="315" t="s">
        <v>1534</v>
      </c>
      <c r="AF56" s="316" t="s">
        <v>1432</v>
      </c>
      <c r="AG56" s="248" t="s">
        <v>1535</v>
      </c>
      <c r="AH56" s="248" t="s">
        <v>1536</v>
      </c>
      <c r="AI56" s="248" t="s">
        <v>100</v>
      </c>
      <c r="AJ56" s="317">
        <v>7.6166666666977099</v>
      </c>
      <c r="AK56" s="315" t="s">
        <v>1537</v>
      </c>
      <c r="AL56" s="315">
        <v>0</v>
      </c>
      <c r="AM56" s="315">
        <v>0</v>
      </c>
      <c r="AN56" s="42">
        <f t="shared" si="1"/>
        <v>1</v>
      </c>
      <c r="AO56" s="318">
        <v>0</v>
      </c>
      <c r="AP56" s="318">
        <v>0</v>
      </c>
      <c r="AQ56" s="318">
        <v>1</v>
      </c>
      <c r="AR56" s="318">
        <v>0</v>
      </c>
      <c r="AS56" s="318">
        <v>0</v>
      </c>
      <c r="AT56" s="318">
        <v>1</v>
      </c>
      <c r="AU56" s="42">
        <f t="shared" si="2"/>
        <v>0</v>
      </c>
      <c r="AV56" s="318">
        <v>0</v>
      </c>
      <c r="AW56" s="318">
        <v>290</v>
      </c>
      <c r="AX56" s="315"/>
      <c r="AY56" s="636"/>
      <c r="AZ56" s="319"/>
      <c r="BA56" s="319"/>
      <c r="BB56" s="318">
        <v>1</v>
      </c>
      <c r="BC56" s="9"/>
      <c r="BD56" s="9"/>
      <c r="BE56" s="50">
        <f t="shared" si="3"/>
        <v>0</v>
      </c>
      <c r="BF56" s="50">
        <f t="shared" si="4"/>
        <v>0</v>
      </c>
      <c r="BG56" s="50">
        <f t="shared" si="5"/>
        <v>7.6166666666977099</v>
      </c>
      <c r="BH56" s="50">
        <f t="shared" si="6"/>
        <v>1</v>
      </c>
      <c r="BI56" s="50">
        <f t="shared" si="7"/>
        <v>0</v>
      </c>
      <c r="BJ56" s="50">
        <f t="shared" si="8"/>
        <v>0</v>
      </c>
      <c r="BK56" s="50">
        <f t="shared" si="9"/>
        <v>0</v>
      </c>
      <c r="BL56" s="50">
        <f t="shared" si="10"/>
        <v>0</v>
      </c>
      <c r="BM56" s="50">
        <f t="shared" si="11"/>
        <v>7.6166666666977099</v>
      </c>
      <c r="BN56" s="50">
        <f t="shared" si="12"/>
        <v>1</v>
      </c>
      <c r="BO56" s="50">
        <f t="shared" si="13"/>
        <v>0</v>
      </c>
      <c r="BP56" s="50">
        <f t="shared" si="14"/>
        <v>0</v>
      </c>
      <c r="BQ56" s="4" t="str">
        <f t="shared" si="15"/>
        <v>09,21 2025.03.05</v>
      </c>
      <c r="BR56" s="4" t="str">
        <f t="shared" si="16"/>
        <v>16,58 2025.03.05</v>
      </c>
      <c r="BS56" s="4" t="str">
        <f t="shared" si="17"/>
        <v>П</v>
      </c>
      <c r="BT56" s="10">
        <f t="shared" si="18"/>
        <v>7.6166666666977099</v>
      </c>
      <c r="BU56" s="42">
        <f t="shared" si="19"/>
        <v>1</v>
      </c>
      <c r="BV56" s="11">
        <f t="shared" si="20"/>
        <v>0</v>
      </c>
      <c r="BW56" s="11">
        <f t="shared" si="21"/>
        <v>0</v>
      </c>
      <c r="BX56" s="11">
        <f t="shared" si="22"/>
        <v>1</v>
      </c>
      <c r="BY56" s="11">
        <f t="shared" si="23"/>
        <v>0</v>
      </c>
      <c r="BZ56" s="11">
        <f t="shared" si="24"/>
        <v>0</v>
      </c>
      <c r="CA56" s="11">
        <f t="shared" si="25"/>
        <v>1</v>
      </c>
      <c r="CB56" s="42">
        <f t="shared" si="26"/>
        <v>0</v>
      </c>
      <c r="CC56" s="11">
        <f t="shared" si="27"/>
        <v>0</v>
      </c>
      <c r="CD56" s="11">
        <f t="shared" si="28"/>
        <v>1</v>
      </c>
      <c r="CE56" s="4"/>
      <c r="CF56" s="50">
        <f t="shared" si="29"/>
        <v>0</v>
      </c>
      <c r="CG56" s="50">
        <f t="shared" si="30"/>
        <v>0</v>
      </c>
      <c r="CH56" s="50">
        <f t="shared" si="31"/>
        <v>7.6166666666977099</v>
      </c>
      <c r="CI56" s="50">
        <f t="shared" si="32"/>
        <v>1</v>
      </c>
      <c r="CJ56" s="50">
        <f t="shared" si="33"/>
        <v>0</v>
      </c>
      <c r="CK56" s="50">
        <f t="shared" si="34"/>
        <v>0</v>
      </c>
      <c r="CL56" s="50">
        <f t="shared" si="35"/>
        <v>0</v>
      </c>
      <c r="CM56" s="50">
        <f t="shared" si="36"/>
        <v>0</v>
      </c>
      <c r="CN56" s="50">
        <f t="shared" si="37"/>
        <v>7.6166666666977099</v>
      </c>
      <c r="CO56" s="50">
        <f t="shared" si="38"/>
        <v>1</v>
      </c>
      <c r="CP56" s="50">
        <f t="shared" si="39"/>
        <v>0</v>
      </c>
      <c r="CQ56" s="50">
        <f t="shared" si="40"/>
        <v>0</v>
      </c>
      <c r="CR56"/>
    </row>
    <row r="57" spans="2:96" s="346" customFormat="1" ht="15.75" customHeight="1" x14ac:dyDescent="0.15">
      <c r="B57" s="59"/>
      <c r="D57" s="130">
        <v>21</v>
      </c>
      <c r="AA57" s="28" t="s">
        <v>701</v>
      </c>
      <c r="AB57" s="31" t="s">
        <v>930</v>
      </c>
      <c r="AC57" s="247" t="s">
        <v>1445</v>
      </c>
      <c r="AD57" s="314" t="s">
        <v>110</v>
      </c>
      <c r="AE57" s="315" t="s">
        <v>1538</v>
      </c>
      <c r="AF57" s="316" t="s">
        <v>1432</v>
      </c>
      <c r="AG57" s="248" t="s">
        <v>1539</v>
      </c>
      <c r="AH57" s="248" t="s">
        <v>1540</v>
      </c>
      <c r="AI57" s="248" t="s">
        <v>100</v>
      </c>
      <c r="AJ57" s="317">
        <v>0.14999999996507499</v>
      </c>
      <c r="AK57" s="315" t="s">
        <v>1541</v>
      </c>
      <c r="AL57" s="315">
        <v>0</v>
      </c>
      <c r="AM57" s="315">
        <v>0</v>
      </c>
      <c r="AN57" s="42">
        <f t="shared" si="1"/>
        <v>4</v>
      </c>
      <c r="AO57" s="318">
        <v>0</v>
      </c>
      <c r="AP57" s="318">
        <v>0</v>
      </c>
      <c r="AQ57" s="318">
        <v>4</v>
      </c>
      <c r="AR57" s="318">
        <v>0</v>
      </c>
      <c r="AS57" s="318">
        <v>0</v>
      </c>
      <c r="AT57" s="318">
        <v>4</v>
      </c>
      <c r="AU57" s="42">
        <f t="shared" si="2"/>
        <v>0</v>
      </c>
      <c r="AV57" s="318">
        <v>0</v>
      </c>
      <c r="AW57" s="318">
        <v>330</v>
      </c>
      <c r="AX57" s="315"/>
      <c r="AY57" s="636"/>
      <c r="AZ57" s="319"/>
      <c r="BA57" s="319"/>
      <c r="BB57" s="318">
        <v>1</v>
      </c>
      <c r="BC57" s="9"/>
      <c r="BD57" s="9"/>
      <c r="BE57" s="50">
        <f t="shared" si="3"/>
        <v>0</v>
      </c>
      <c r="BF57" s="50">
        <f t="shared" si="4"/>
        <v>0</v>
      </c>
      <c r="BG57" s="50">
        <f t="shared" si="5"/>
        <v>0.59999999986029995</v>
      </c>
      <c r="BH57" s="50">
        <f t="shared" si="6"/>
        <v>4</v>
      </c>
      <c r="BI57" s="50">
        <f t="shared" si="7"/>
        <v>0</v>
      </c>
      <c r="BJ57" s="50">
        <f t="shared" si="8"/>
        <v>0</v>
      </c>
      <c r="BK57" s="50">
        <f t="shared" si="9"/>
        <v>0</v>
      </c>
      <c r="BL57" s="50">
        <f t="shared" si="10"/>
        <v>0</v>
      </c>
      <c r="BM57" s="50">
        <f t="shared" si="11"/>
        <v>0.59999999986029995</v>
      </c>
      <c r="BN57" s="50">
        <f t="shared" si="12"/>
        <v>4</v>
      </c>
      <c r="BO57" s="50">
        <f t="shared" si="13"/>
        <v>0</v>
      </c>
      <c r="BP57" s="50">
        <f t="shared" si="14"/>
        <v>0</v>
      </c>
      <c r="BQ57" s="4" t="str">
        <f t="shared" si="15"/>
        <v>15,58 2025.03.06</v>
      </c>
      <c r="BR57" s="4" t="str">
        <f t="shared" si="16"/>
        <v>16,07 2025.03.06</v>
      </c>
      <c r="BS57" s="4" t="str">
        <f t="shared" si="17"/>
        <v>П</v>
      </c>
      <c r="BT57" s="10">
        <f t="shared" si="18"/>
        <v>0.14999999996507499</v>
      </c>
      <c r="BU57" s="42">
        <f t="shared" si="19"/>
        <v>4</v>
      </c>
      <c r="BV57" s="11">
        <f t="shared" si="20"/>
        <v>0</v>
      </c>
      <c r="BW57" s="11">
        <f t="shared" si="21"/>
        <v>0</v>
      </c>
      <c r="BX57" s="11">
        <f t="shared" si="22"/>
        <v>4</v>
      </c>
      <c r="BY57" s="11">
        <f t="shared" si="23"/>
        <v>0</v>
      </c>
      <c r="BZ57" s="11">
        <f t="shared" si="24"/>
        <v>0</v>
      </c>
      <c r="CA57" s="11">
        <f t="shared" si="25"/>
        <v>4</v>
      </c>
      <c r="CB57" s="42">
        <f t="shared" si="26"/>
        <v>0</v>
      </c>
      <c r="CC57" s="11">
        <f t="shared" si="27"/>
        <v>0</v>
      </c>
      <c r="CD57" s="11">
        <f t="shared" si="28"/>
        <v>1</v>
      </c>
      <c r="CE57" s="4"/>
      <c r="CF57" s="50">
        <f t="shared" si="29"/>
        <v>0</v>
      </c>
      <c r="CG57" s="50">
        <f t="shared" si="30"/>
        <v>0</v>
      </c>
      <c r="CH57" s="50">
        <f t="shared" si="31"/>
        <v>0.59999999986029995</v>
      </c>
      <c r="CI57" s="50">
        <f t="shared" si="32"/>
        <v>4</v>
      </c>
      <c r="CJ57" s="50">
        <f t="shared" si="33"/>
        <v>0</v>
      </c>
      <c r="CK57" s="50">
        <f t="shared" si="34"/>
        <v>0</v>
      </c>
      <c r="CL57" s="50">
        <f t="shared" si="35"/>
        <v>0</v>
      </c>
      <c r="CM57" s="50">
        <f t="shared" si="36"/>
        <v>0</v>
      </c>
      <c r="CN57" s="50">
        <f t="shared" si="37"/>
        <v>0.59999999986029995</v>
      </c>
      <c r="CO57" s="50">
        <f t="shared" si="38"/>
        <v>4</v>
      </c>
      <c r="CP57" s="50">
        <f t="shared" si="39"/>
        <v>0</v>
      </c>
      <c r="CQ57" s="50">
        <f t="shared" si="40"/>
        <v>0</v>
      </c>
      <c r="CR57"/>
    </row>
    <row r="58" spans="2:96" s="347" customFormat="1" ht="15.75" customHeight="1" x14ac:dyDescent="0.15">
      <c r="B58" s="59"/>
      <c r="D58" s="130">
        <v>21</v>
      </c>
      <c r="AA58" s="28" t="s">
        <v>701</v>
      </c>
      <c r="AB58" s="31" t="s">
        <v>931</v>
      </c>
      <c r="AC58" s="247" t="s">
        <v>1445</v>
      </c>
      <c r="AD58" s="314" t="s">
        <v>110</v>
      </c>
      <c r="AE58" s="315" t="s">
        <v>1542</v>
      </c>
      <c r="AF58" s="316" t="s">
        <v>1432</v>
      </c>
      <c r="AG58" s="248" t="s">
        <v>1543</v>
      </c>
      <c r="AH58" s="248" t="s">
        <v>1544</v>
      </c>
      <c r="AI58" s="248" t="s">
        <v>100</v>
      </c>
      <c r="AJ58" s="317">
        <v>0.400000000081491</v>
      </c>
      <c r="AK58" s="315" t="s">
        <v>1545</v>
      </c>
      <c r="AL58" s="315">
        <v>0</v>
      </c>
      <c r="AM58" s="315">
        <v>0</v>
      </c>
      <c r="AN58" s="42">
        <f t="shared" si="1"/>
        <v>2</v>
      </c>
      <c r="AO58" s="318">
        <v>0</v>
      </c>
      <c r="AP58" s="318">
        <v>0</v>
      </c>
      <c r="AQ58" s="318">
        <v>2</v>
      </c>
      <c r="AR58" s="318">
        <v>0</v>
      </c>
      <c r="AS58" s="318">
        <v>0</v>
      </c>
      <c r="AT58" s="318">
        <v>2</v>
      </c>
      <c r="AU58" s="42">
        <f t="shared" si="2"/>
        <v>0</v>
      </c>
      <c r="AV58" s="318">
        <v>0</v>
      </c>
      <c r="AW58" s="318">
        <v>830</v>
      </c>
      <c r="AX58" s="315"/>
      <c r="AY58" s="636"/>
      <c r="AZ58" s="319"/>
      <c r="BA58" s="319"/>
      <c r="BB58" s="318">
        <v>1</v>
      </c>
      <c r="BC58" s="9"/>
      <c r="BD58" s="9"/>
      <c r="BE58" s="50">
        <f t="shared" si="3"/>
        <v>0</v>
      </c>
      <c r="BF58" s="50">
        <f t="shared" si="4"/>
        <v>0</v>
      </c>
      <c r="BG58" s="50">
        <f t="shared" si="5"/>
        <v>0.80000000016298201</v>
      </c>
      <c r="BH58" s="50">
        <f t="shared" si="6"/>
        <v>2</v>
      </c>
      <c r="BI58" s="50">
        <f t="shared" si="7"/>
        <v>0</v>
      </c>
      <c r="BJ58" s="50">
        <f t="shared" si="8"/>
        <v>0</v>
      </c>
      <c r="BK58" s="50">
        <f t="shared" si="9"/>
        <v>0</v>
      </c>
      <c r="BL58" s="50">
        <f t="shared" si="10"/>
        <v>0</v>
      </c>
      <c r="BM58" s="50">
        <f t="shared" si="11"/>
        <v>0.80000000016298201</v>
      </c>
      <c r="BN58" s="50">
        <f t="shared" si="12"/>
        <v>2</v>
      </c>
      <c r="BO58" s="50">
        <f t="shared" si="13"/>
        <v>0</v>
      </c>
      <c r="BP58" s="50">
        <f t="shared" si="14"/>
        <v>0</v>
      </c>
      <c r="BQ58" s="4" t="str">
        <f t="shared" si="15"/>
        <v>16,10 2025.03.06</v>
      </c>
      <c r="BR58" s="4" t="str">
        <f t="shared" si="16"/>
        <v>16,34 2025.03.06</v>
      </c>
      <c r="BS58" s="4" t="str">
        <f t="shared" si="17"/>
        <v>П</v>
      </c>
      <c r="BT58" s="10">
        <f t="shared" si="18"/>
        <v>0.400000000081491</v>
      </c>
      <c r="BU58" s="42">
        <f t="shared" si="19"/>
        <v>2</v>
      </c>
      <c r="BV58" s="11">
        <f t="shared" si="20"/>
        <v>0</v>
      </c>
      <c r="BW58" s="11">
        <f t="shared" si="21"/>
        <v>0</v>
      </c>
      <c r="BX58" s="11">
        <f t="shared" si="22"/>
        <v>2</v>
      </c>
      <c r="BY58" s="11">
        <f t="shared" si="23"/>
        <v>0</v>
      </c>
      <c r="BZ58" s="11">
        <f t="shared" si="24"/>
        <v>0</v>
      </c>
      <c r="CA58" s="11">
        <f t="shared" si="25"/>
        <v>2</v>
      </c>
      <c r="CB58" s="42">
        <f t="shared" si="26"/>
        <v>0</v>
      </c>
      <c r="CC58" s="11">
        <f t="shared" si="27"/>
        <v>0</v>
      </c>
      <c r="CD58" s="11">
        <f t="shared" si="28"/>
        <v>1</v>
      </c>
      <c r="CE58" s="4"/>
      <c r="CF58" s="50">
        <f t="shared" si="29"/>
        <v>0</v>
      </c>
      <c r="CG58" s="50">
        <f t="shared" si="30"/>
        <v>0</v>
      </c>
      <c r="CH58" s="50">
        <f t="shared" si="31"/>
        <v>0.80000000016298201</v>
      </c>
      <c r="CI58" s="50">
        <f t="shared" si="32"/>
        <v>2</v>
      </c>
      <c r="CJ58" s="50">
        <f t="shared" si="33"/>
        <v>0</v>
      </c>
      <c r="CK58" s="50">
        <f t="shared" si="34"/>
        <v>0</v>
      </c>
      <c r="CL58" s="50">
        <f t="shared" si="35"/>
        <v>0</v>
      </c>
      <c r="CM58" s="50">
        <f t="shared" si="36"/>
        <v>0</v>
      </c>
      <c r="CN58" s="50">
        <f t="shared" si="37"/>
        <v>0.80000000016298201</v>
      </c>
      <c r="CO58" s="50">
        <f t="shared" si="38"/>
        <v>2</v>
      </c>
      <c r="CP58" s="50">
        <f t="shared" si="39"/>
        <v>0</v>
      </c>
      <c r="CQ58" s="50">
        <f t="shared" si="40"/>
        <v>0</v>
      </c>
      <c r="CR58"/>
    </row>
    <row r="59" spans="2:96" s="348" customFormat="1" ht="15.75" customHeight="1" x14ac:dyDescent="0.15">
      <c r="B59" s="59"/>
      <c r="D59" s="130">
        <v>21</v>
      </c>
      <c r="AA59" s="28" t="s">
        <v>701</v>
      </c>
      <c r="AB59" s="31" t="s">
        <v>932</v>
      </c>
      <c r="AC59" s="247" t="s">
        <v>1435</v>
      </c>
      <c r="AD59" s="314" t="s">
        <v>110</v>
      </c>
      <c r="AE59" s="315" t="s">
        <v>1546</v>
      </c>
      <c r="AF59" s="316" t="s">
        <v>1495</v>
      </c>
      <c r="AG59" s="248" t="s">
        <v>1547</v>
      </c>
      <c r="AH59" s="248" t="s">
        <v>1548</v>
      </c>
      <c r="AI59" s="248" t="s">
        <v>100</v>
      </c>
      <c r="AJ59" s="317">
        <v>4.5833333332557196</v>
      </c>
      <c r="AK59" s="315" t="s">
        <v>1549</v>
      </c>
      <c r="AL59" s="315">
        <v>0</v>
      </c>
      <c r="AM59" s="315">
        <v>0</v>
      </c>
      <c r="AN59" s="42">
        <f t="shared" si="1"/>
        <v>1</v>
      </c>
      <c r="AO59" s="318">
        <v>0</v>
      </c>
      <c r="AP59" s="318">
        <v>0</v>
      </c>
      <c r="AQ59" s="318">
        <v>1</v>
      </c>
      <c r="AR59" s="318">
        <v>0</v>
      </c>
      <c r="AS59" s="318">
        <v>0</v>
      </c>
      <c r="AT59" s="318">
        <v>1</v>
      </c>
      <c r="AU59" s="42">
        <f t="shared" si="2"/>
        <v>0</v>
      </c>
      <c r="AV59" s="318">
        <v>0</v>
      </c>
      <c r="AW59" s="318">
        <v>660</v>
      </c>
      <c r="AX59" s="315"/>
      <c r="AY59" s="636"/>
      <c r="AZ59" s="319"/>
      <c r="BA59" s="319"/>
      <c r="BB59" s="318">
        <v>1</v>
      </c>
      <c r="BC59" s="9"/>
      <c r="BD59" s="9"/>
      <c r="BE59" s="50">
        <f t="shared" si="3"/>
        <v>0</v>
      </c>
      <c r="BF59" s="50">
        <f t="shared" si="4"/>
        <v>0</v>
      </c>
      <c r="BG59" s="50">
        <f t="shared" si="5"/>
        <v>4.5833333332557196</v>
      </c>
      <c r="BH59" s="50">
        <f t="shared" si="6"/>
        <v>1</v>
      </c>
      <c r="BI59" s="50">
        <f t="shared" si="7"/>
        <v>0</v>
      </c>
      <c r="BJ59" s="50">
        <f t="shared" si="8"/>
        <v>0</v>
      </c>
      <c r="BK59" s="50">
        <f t="shared" si="9"/>
        <v>0</v>
      </c>
      <c r="BL59" s="50">
        <f t="shared" si="10"/>
        <v>0</v>
      </c>
      <c r="BM59" s="50">
        <f t="shared" si="11"/>
        <v>4.5833333332557196</v>
      </c>
      <c r="BN59" s="50">
        <f t="shared" si="12"/>
        <v>1</v>
      </c>
      <c r="BO59" s="50">
        <f t="shared" si="13"/>
        <v>0</v>
      </c>
      <c r="BP59" s="50">
        <f t="shared" si="14"/>
        <v>0</v>
      </c>
      <c r="BQ59" s="4" t="str">
        <f t="shared" si="15"/>
        <v>10,17 2025.03.08</v>
      </c>
      <c r="BR59" s="4" t="str">
        <f t="shared" si="16"/>
        <v>14,52 2025.03.08</v>
      </c>
      <c r="BS59" s="4" t="str">
        <f t="shared" si="17"/>
        <v>П</v>
      </c>
      <c r="BT59" s="10">
        <f t="shared" si="18"/>
        <v>4.5833333332557196</v>
      </c>
      <c r="BU59" s="42">
        <f t="shared" si="19"/>
        <v>1</v>
      </c>
      <c r="BV59" s="11">
        <f t="shared" si="20"/>
        <v>0</v>
      </c>
      <c r="BW59" s="11">
        <f t="shared" si="21"/>
        <v>0</v>
      </c>
      <c r="BX59" s="11">
        <f t="shared" si="22"/>
        <v>1</v>
      </c>
      <c r="BY59" s="11">
        <f t="shared" si="23"/>
        <v>0</v>
      </c>
      <c r="BZ59" s="11">
        <f t="shared" si="24"/>
        <v>0</v>
      </c>
      <c r="CA59" s="11">
        <f t="shared" si="25"/>
        <v>1</v>
      </c>
      <c r="CB59" s="42">
        <f t="shared" si="26"/>
        <v>0</v>
      </c>
      <c r="CC59" s="11">
        <f t="shared" si="27"/>
        <v>0</v>
      </c>
      <c r="CD59" s="11">
        <f t="shared" si="28"/>
        <v>1</v>
      </c>
      <c r="CE59" s="4"/>
      <c r="CF59" s="50">
        <f t="shared" si="29"/>
        <v>0</v>
      </c>
      <c r="CG59" s="50">
        <f t="shared" si="30"/>
        <v>0</v>
      </c>
      <c r="CH59" s="50">
        <f t="shared" si="31"/>
        <v>4.5833333332557196</v>
      </c>
      <c r="CI59" s="50">
        <f t="shared" si="32"/>
        <v>1</v>
      </c>
      <c r="CJ59" s="50">
        <f t="shared" si="33"/>
        <v>0</v>
      </c>
      <c r="CK59" s="50">
        <f t="shared" si="34"/>
        <v>0</v>
      </c>
      <c r="CL59" s="50">
        <f t="shared" si="35"/>
        <v>0</v>
      </c>
      <c r="CM59" s="50">
        <f t="shared" si="36"/>
        <v>0</v>
      </c>
      <c r="CN59" s="50">
        <f t="shared" si="37"/>
        <v>4.5833333332557196</v>
      </c>
      <c r="CO59" s="50">
        <f t="shared" si="38"/>
        <v>1</v>
      </c>
      <c r="CP59" s="50">
        <f t="shared" si="39"/>
        <v>0</v>
      </c>
      <c r="CQ59" s="50">
        <f t="shared" si="40"/>
        <v>0</v>
      </c>
      <c r="CR59"/>
    </row>
    <row r="60" spans="2:96" s="349" customFormat="1" ht="15.75" customHeight="1" x14ac:dyDescent="0.15">
      <c r="B60" s="59"/>
      <c r="D60" s="130">
        <v>21</v>
      </c>
      <c r="AA60" s="28" t="s">
        <v>701</v>
      </c>
      <c r="AB60" s="31" t="s">
        <v>933</v>
      </c>
      <c r="AC60" s="247" t="s">
        <v>1440</v>
      </c>
      <c r="AD60" s="314" t="s">
        <v>110</v>
      </c>
      <c r="AE60" s="315" t="s">
        <v>1458</v>
      </c>
      <c r="AF60" s="316" t="s">
        <v>1432</v>
      </c>
      <c r="AG60" s="248" t="s">
        <v>1550</v>
      </c>
      <c r="AH60" s="248" t="s">
        <v>1551</v>
      </c>
      <c r="AI60" s="248" t="s">
        <v>100</v>
      </c>
      <c r="AJ60" s="317">
        <v>1.83333333337214</v>
      </c>
      <c r="AK60" s="315" t="s">
        <v>1461</v>
      </c>
      <c r="AL60" s="315">
        <v>0</v>
      </c>
      <c r="AM60" s="315">
        <v>0</v>
      </c>
      <c r="AN60" s="42">
        <f t="shared" si="1"/>
        <v>1</v>
      </c>
      <c r="AO60" s="318">
        <v>0</v>
      </c>
      <c r="AP60" s="318">
        <v>0</v>
      </c>
      <c r="AQ60" s="318">
        <v>1</v>
      </c>
      <c r="AR60" s="318">
        <v>0</v>
      </c>
      <c r="AS60" s="318">
        <v>0</v>
      </c>
      <c r="AT60" s="318">
        <v>1</v>
      </c>
      <c r="AU60" s="42">
        <f t="shared" si="2"/>
        <v>0</v>
      </c>
      <c r="AV60" s="318">
        <v>0</v>
      </c>
      <c r="AW60" s="318">
        <v>30</v>
      </c>
      <c r="AX60" s="315"/>
      <c r="AY60" s="636"/>
      <c r="AZ60" s="319"/>
      <c r="BA60" s="319"/>
      <c r="BB60" s="318">
        <v>1</v>
      </c>
      <c r="BC60" s="9"/>
      <c r="BD60" s="9"/>
      <c r="BE60" s="50">
        <f t="shared" si="3"/>
        <v>0</v>
      </c>
      <c r="BF60" s="50">
        <f t="shared" si="4"/>
        <v>0</v>
      </c>
      <c r="BG60" s="50">
        <f t="shared" si="5"/>
        <v>1.83333333337214</v>
      </c>
      <c r="BH60" s="50">
        <f t="shared" si="6"/>
        <v>1</v>
      </c>
      <c r="BI60" s="50">
        <f t="shared" si="7"/>
        <v>0</v>
      </c>
      <c r="BJ60" s="50">
        <f t="shared" si="8"/>
        <v>0</v>
      </c>
      <c r="BK60" s="50">
        <f t="shared" si="9"/>
        <v>0</v>
      </c>
      <c r="BL60" s="50">
        <f t="shared" si="10"/>
        <v>0</v>
      </c>
      <c r="BM60" s="50">
        <f t="shared" si="11"/>
        <v>1.83333333337214</v>
      </c>
      <c r="BN60" s="50">
        <f t="shared" si="12"/>
        <v>1</v>
      </c>
      <c r="BO60" s="50">
        <f t="shared" si="13"/>
        <v>0</v>
      </c>
      <c r="BP60" s="50">
        <f t="shared" si="14"/>
        <v>0</v>
      </c>
      <c r="BQ60" s="4" t="str">
        <f t="shared" si="15"/>
        <v>10,40 2025.03.08</v>
      </c>
      <c r="BR60" s="4" t="str">
        <f t="shared" si="16"/>
        <v>12,30 2025.03.08</v>
      </c>
      <c r="BS60" s="4" t="str">
        <f t="shared" si="17"/>
        <v>П</v>
      </c>
      <c r="BT60" s="10">
        <f t="shared" si="18"/>
        <v>1.83333333337214</v>
      </c>
      <c r="BU60" s="42">
        <f t="shared" si="19"/>
        <v>1</v>
      </c>
      <c r="BV60" s="11">
        <f t="shared" si="20"/>
        <v>0</v>
      </c>
      <c r="BW60" s="11">
        <f t="shared" si="21"/>
        <v>0</v>
      </c>
      <c r="BX60" s="11">
        <f t="shared" si="22"/>
        <v>1</v>
      </c>
      <c r="BY60" s="11">
        <f t="shared" si="23"/>
        <v>0</v>
      </c>
      <c r="BZ60" s="11">
        <f t="shared" si="24"/>
        <v>0</v>
      </c>
      <c r="CA60" s="11">
        <f t="shared" si="25"/>
        <v>1</v>
      </c>
      <c r="CB60" s="42">
        <f t="shared" si="26"/>
        <v>0</v>
      </c>
      <c r="CC60" s="11">
        <f t="shared" si="27"/>
        <v>0</v>
      </c>
      <c r="CD60" s="11">
        <f t="shared" si="28"/>
        <v>1</v>
      </c>
      <c r="CE60" s="4"/>
      <c r="CF60" s="50">
        <f t="shared" si="29"/>
        <v>0</v>
      </c>
      <c r="CG60" s="50">
        <f t="shared" si="30"/>
        <v>0</v>
      </c>
      <c r="CH60" s="50">
        <f t="shared" si="31"/>
        <v>1.83333333337214</v>
      </c>
      <c r="CI60" s="50">
        <f t="shared" si="32"/>
        <v>1</v>
      </c>
      <c r="CJ60" s="50">
        <f t="shared" si="33"/>
        <v>0</v>
      </c>
      <c r="CK60" s="50">
        <f t="shared" si="34"/>
        <v>0</v>
      </c>
      <c r="CL60" s="50">
        <f t="shared" si="35"/>
        <v>0</v>
      </c>
      <c r="CM60" s="50">
        <f t="shared" si="36"/>
        <v>0</v>
      </c>
      <c r="CN60" s="50">
        <f t="shared" si="37"/>
        <v>1.83333333337214</v>
      </c>
      <c r="CO60" s="50">
        <f t="shared" si="38"/>
        <v>1</v>
      </c>
      <c r="CP60" s="50">
        <f t="shared" si="39"/>
        <v>0</v>
      </c>
      <c r="CQ60" s="50">
        <f t="shared" si="40"/>
        <v>0</v>
      </c>
      <c r="CR60"/>
    </row>
    <row r="61" spans="2:96" s="350" customFormat="1" ht="15.75" customHeight="1" x14ac:dyDescent="0.15">
      <c r="B61" s="59"/>
      <c r="D61" s="130">
        <v>21</v>
      </c>
      <c r="AA61" s="28" t="s">
        <v>701</v>
      </c>
      <c r="AB61" s="31" t="s">
        <v>934</v>
      </c>
      <c r="AC61" s="247" t="s">
        <v>1440</v>
      </c>
      <c r="AD61" s="314" t="s">
        <v>110</v>
      </c>
      <c r="AE61" s="315" t="s">
        <v>1511</v>
      </c>
      <c r="AF61" s="316" t="s">
        <v>1432</v>
      </c>
      <c r="AG61" s="248" t="s">
        <v>1552</v>
      </c>
      <c r="AH61" s="248" t="s">
        <v>1553</v>
      </c>
      <c r="AI61" s="248" t="s">
        <v>100</v>
      </c>
      <c r="AJ61" s="317">
        <v>1.1166666668141301</v>
      </c>
      <c r="AK61" s="315" t="s">
        <v>1514</v>
      </c>
      <c r="AL61" s="315">
        <v>0</v>
      </c>
      <c r="AM61" s="315">
        <v>0</v>
      </c>
      <c r="AN61" s="42">
        <f t="shared" si="1"/>
        <v>1</v>
      </c>
      <c r="AO61" s="318">
        <v>0</v>
      </c>
      <c r="AP61" s="318">
        <v>0</v>
      </c>
      <c r="AQ61" s="318">
        <v>1</v>
      </c>
      <c r="AR61" s="318">
        <v>0</v>
      </c>
      <c r="AS61" s="318">
        <v>0</v>
      </c>
      <c r="AT61" s="318">
        <v>1</v>
      </c>
      <c r="AU61" s="42">
        <f t="shared" si="2"/>
        <v>0</v>
      </c>
      <c r="AV61" s="318">
        <v>0</v>
      </c>
      <c r="AW61" s="318">
        <v>260</v>
      </c>
      <c r="AX61" s="315"/>
      <c r="AY61" s="636"/>
      <c r="AZ61" s="319"/>
      <c r="BA61" s="319"/>
      <c r="BB61" s="318">
        <v>1</v>
      </c>
      <c r="BC61" s="9"/>
      <c r="BD61" s="9"/>
      <c r="BE61" s="50">
        <f t="shared" si="3"/>
        <v>0</v>
      </c>
      <c r="BF61" s="50">
        <f t="shared" si="4"/>
        <v>0</v>
      </c>
      <c r="BG61" s="50">
        <f t="shared" si="5"/>
        <v>1.1166666668141301</v>
      </c>
      <c r="BH61" s="50">
        <f t="shared" si="6"/>
        <v>1</v>
      </c>
      <c r="BI61" s="50">
        <f t="shared" si="7"/>
        <v>0</v>
      </c>
      <c r="BJ61" s="50">
        <f t="shared" si="8"/>
        <v>0</v>
      </c>
      <c r="BK61" s="50">
        <f t="shared" si="9"/>
        <v>0</v>
      </c>
      <c r="BL61" s="50">
        <f t="shared" si="10"/>
        <v>0</v>
      </c>
      <c r="BM61" s="50">
        <f t="shared" si="11"/>
        <v>1.1166666668141301</v>
      </c>
      <c r="BN61" s="50">
        <f t="shared" si="12"/>
        <v>1</v>
      </c>
      <c r="BO61" s="50">
        <f t="shared" si="13"/>
        <v>0</v>
      </c>
      <c r="BP61" s="50">
        <f t="shared" si="14"/>
        <v>0</v>
      </c>
      <c r="BQ61" s="4" t="str">
        <f t="shared" si="15"/>
        <v>10,19 2025.03.11</v>
      </c>
      <c r="BR61" s="4" t="str">
        <f t="shared" si="16"/>
        <v>11,26 2025.03.11</v>
      </c>
      <c r="BS61" s="4" t="str">
        <f t="shared" si="17"/>
        <v>П</v>
      </c>
      <c r="BT61" s="10">
        <f t="shared" si="18"/>
        <v>1.1166666668141301</v>
      </c>
      <c r="BU61" s="42">
        <f t="shared" si="19"/>
        <v>1</v>
      </c>
      <c r="BV61" s="11">
        <f t="shared" si="20"/>
        <v>0</v>
      </c>
      <c r="BW61" s="11">
        <f t="shared" si="21"/>
        <v>0</v>
      </c>
      <c r="BX61" s="11">
        <f t="shared" si="22"/>
        <v>1</v>
      </c>
      <c r="BY61" s="11">
        <f t="shared" si="23"/>
        <v>0</v>
      </c>
      <c r="BZ61" s="11">
        <f t="shared" si="24"/>
        <v>0</v>
      </c>
      <c r="CA61" s="11">
        <f t="shared" si="25"/>
        <v>1</v>
      </c>
      <c r="CB61" s="42">
        <f t="shared" si="26"/>
        <v>0</v>
      </c>
      <c r="CC61" s="11">
        <f t="shared" si="27"/>
        <v>0</v>
      </c>
      <c r="CD61" s="11">
        <f t="shared" si="28"/>
        <v>1</v>
      </c>
      <c r="CE61" s="4"/>
      <c r="CF61" s="50">
        <f t="shared" si="29"/>
        <v>0</v>
      </c>
      <c r="CG61" s="50">
        <f t="shared" si="30"/>
        <v>0</v>
      </c>
      <c r="CH61" s="50">
        <f t="shared" si="31"/>
        <v>1.1166666668141301</v>
      </c>
      <c r="CI61" s="50">
        <f t="shared" si="32"/>
        <v>1</v>
      </c>
      <c r="CJ61" s="50">
        <f t="shared" si="33"/>
        <v>0</v>
      </c>
      <c r="CK61" s="50">
        <f t="shared" si="34"/>
        <v>0</v>
      </c>
      <c r="CL61" s="50">
        <f t="shared" si="35"/>
        <v>0</v>
      </c>
      <c r="CM61" s="50">
        <f t="shared" si="36"/>
        <v>0</v>
      </c>
      <c r="CN61" s="50">
        <f t="shared" si="37"/>
        <v>1.1166666668141301</v>
      </c>
      <c r="CO61" s="50">
        <f t="shared" si="38"/>
        <v>1</v>
      </c>
      <c r="CP61" s="50">
        <f t="shared" si="39"/>
        <v>0</v>
      </c>
      <c r="CQ61" s="50">
        <f t="shared" si="40"/>
        <v>0</v>
      </c>
      <c r="CR61"/>
    </row>
    <row r="62" spans="2:96" s="351" customFormat="1" ht="15.75" customHeight="1" x14ac:dyDescent="0.15">
      <c r="B62" s="59"/>
      <c r="D62" s="130">
        <v>21</v>
      </c>
      <c r="AA62" s="28" t="s">
        <v>701</v>
      </c>
      <c r="AB62" s="31" t="s">
        <v>935</v>
      </c>
      <c r="AC62" s="247" t="s">
        <v>1440</v>
      </c>
      <c r="AD62" s="314" t="s">
        <v>110</v>
      </c>
      <c r="AE62" s="315" t="s">
        <v>1554</v>
      </c>
      <c r="AF62" s="316" t="s">
        <v>1432</v>
      </c>
      <c r="AG62" s="248" t="s">
        <v>1555</v>
      </c>
      <c r="AH62" s="248" t="s">
        <v>1556</v>
      </c>
      <c r="AI62" s="248" t="s">
        <v>100</v>
      </c>
      <c r="AJ62" s="317">
        <v>0.56666666659293696</v>
      </c>
      <c r="AK62" s="315" t="s">
        <v>1557</v>
      </c>
      <c r="AL62" s="315">
        <v>0</v>
      </c>
      <c r="AM62" s="315">
        <v>0</v>
      </c>
      <c r="AN62" s="42">
        <f t="shared" si="1"/>
        <v>1</v>
      </c>
      <c r="AO62" s="318">
        <v>0</v>
      </c>
      <c r="AP62" s="318">
        <v>0</v>
      </c>
      <c r="AQ62" s="318">
        <v>1</v>
      </c>
      <c r="AR62" s="318">
        <v>0</v>
      </c>
      <c r="AS62" s="318">
        <v>0</v>
      </c>
      <c r="AT62" s="318">
        <v>1</v>
      </c>
      <c r="AU62" s="42">
        <f t="shared" si="2"/>
        <v>0</v>
      </c>
      <c r="AV62" s="318">
        <v>0</v>
      </c>
      <c r="AW62" s="318">
        <v>50</v>
      </c>
      <c r="AX62" s="315"/>
      <c r="AY62" s="636"/>
      <c r="AZ62" s="319"/>
      <c r="BA62" s="319"/>
      <c r="BB62" s="318">
        <v>1</v>
      </c>
      <c r="BC62" s="9"/>
      <c r="BD62" s="9"/>
      <c r="BE62" s="50">
        <f t="shared" si="3"/>
        <v>0</v>
      </c>
      <c r="BF62" s="50">
        <f t="shared" si="4"/>
        <v>0</v>
      </c>
      <c r="BG62" s="50">
        <f t="shared" si="5"/>
        <v>0.56666666659293696</v>
      </c>
      <c r="BH62" s="50">
        <f t="shared" si="6"/>
        <v>1</v>
      </c>
      <c r="BI62" s="50">
        <f t="shared" si="7"/>
        <v>0</v>
      </c>
      <c r="BJ62" s="50">
        <f t="shared" si="8"/>
        <v>0</v>
      </c>
      <c r="BK62" s="50">
        <f t="shared" si="9"/>
        <v>0</v>
      </c>
      <c r="BL62" s="50">
        <f t="shared" si="10"/>
        <v>0</v>
      </c>
      <c r="BM62" s="50">
        <f t="shared" si="11"/>
        <v>0.56666666659293696</v>
      </c>
      <c r="BN62" s="50">
        <f t="shared" si="12"/>
        <v>1</v>
      </c>
      <c r="BO62" s="50">
        <f t="shared" si="13"/>
        <v>0</v>
      </c>
      <c r="BP62" s="50">
        <f t="shared" si="14"/>
        <v>0</v>
      </c>
      <c r="BQ62" s="4" t="str">
        <f t="shared" si="15"/>
        <v>14,28 2025.03.14</v>
      </c>
      <c r="BR62" s="4" t="str">
        <f t="shared" si="16"/>
        <v>15,02 2025.03.14</v>
      </c>
      <c r="BS62" s="4" t="str">
        <f t="shared" si="17"/>
        <v>П</v>
      </c>
      <c r="BT62" s="10">
        <f t="shared" si="18"/>
        <v>0.56666666659293696</v>
      </c>
      <c r="BU62" s="42">
        <f t="shared" si="19"/>
        <v>1</v>
      </c>
      <c r="BV62" s="11">
        <f t="shared" si="20"/>
        <v>0</v>
      </c>
      <c r="BW62" s="11">
        <f t="shared" si="21"/>
        <v>0</v>
      </c>
      <c r="BX62" s="11">
        <f t="shared" si="22"/>
        <v>1</v>
      </c>
      <c r="BY62" s="11">
        <f t="shared" si="23"/>
        <v>0</v>
      </c>
      <c r="BZ62" s="11">
        <f t="shared" si="24"/>
        <v>0</v>
      </c>
      <c r="CA62" s="11">
        <f t="shared" si="25"/>
        <v>1</v>
      </c>
      <c r="CB62" s="42">
        <f t="shared" si="26"/>
        <v>0</v>
      </c>
      <c r="CC62" s="11">
        <f t="shared" si="27"/>
        <v>0</v>
      </c>
      <c r="CD62" s="11">
        <f t="shared" si="28"/>
        <v>1</v>
      </c>
      <c r="CE62" s="4"/>
      <c r="CF62" s="50">
        <f t="shared" si="29"/>
        <v>0</v>
      </c>
      <c r="CG62" s="50">
        <f t="shared" si="30"/>
        <v>0</v>
      </c>
      <c r="CH62" s="50">
        <f t="shared" si="31"/>
        <v>0.56666666659293696</v>
      </c>
      <c r="CI62" s="50">
        <f t="shared" si="32"/>
        <v>1</v>
      </c>
      <c r="CJ62" s="50">
        <f t="shared" si="33"/>
        <v>0</v>
      </c>
      <c r="CK62" s="50">
        <f t="shared" si="34"/>
        <v>0</v>
      </c>
      <c r="CL62" s="50">
        <f t="shared" si="35"/>
        <v>0</v>
      </c>
      <c r="CM62" s="50">
        <f t="shared" si="36"/>
        <v>0</v>
      </c>
      <c r="CN62" s="50">
        <f t="shared" si="37"/>
        <v>0.56666666659293696</v>
      </c>
      <c r="CO62" s="50">
        <f t="shared" si="38"/>
        <v>1</v>
      </c>
      <c r="CP62" s="50">
        <f t="shared" si="39"/>
        <v>0</v>
      </c>
      <c r="CQ62" s="50">
        <f t="shared" si="40"/>
        <v>0</v>
      </c>
      <c r="CR62"/>
    </row>
    <row r="63" spans="2:96" s="352" customFormat="1" ht="15.75" customHeight="1" x14ac:dyDescent="0.15">
      <c r="B63" s="59"/>
      <c r="D63" s="130">
        <v>21</v>
      </c>
      <c r="AA63" s="28" t="s">
        <v>701</v>
      </c>
      <c r="AB63" s="31" t="s">
        <v>936</v>
      </c>
      <c r="AC63" s="247" t="s">
        <v>1440</v>
      </c>
      <c r="AD63" s="314" t="s">
        <v>110</v>
      </c>
      <c r="AE63" s="315" t="s">
        <v>1558</v>
      </c>
      <c r="AF63" s="316" t="s">
        <v>1432</v>
      </c>
      <c r="AG63" s="248" t="s">
        <v>1559</v>
      </c>
      <c r="AH63" s="248" t="s">
        <v>1560</v>
      </c>
      <c r="AI63" s="248" t="s">
        <v>122</v>
      </c>
      <c r="AJ63" s="317">
        <v>0.94999999995343398</v>
      </c>
      <c r="AK63" s="315" t="s">
        <v>1561</v>
      </c>
      <c r="AL63" s="315">
        <v>0</v>
      </c>
      <c r="AM63" s="315">
        <v>0</v>
      </c>
      <c r="AN63" s="42">
        <f t="shared" si="1"/>
        <v>1</v>
      </c>
      <c r="AO63" s="318">
        <v>0</v>
      </c>
      <c r="AP63" s="318">
        <v>0</v>
      </c>
      <c r="AQ63" s="318">
        <v>1</v>
      </c>
      <c r="AR63" s="318">
        <v>0</v>
      </c>
      <c r="AS63" s="318">
        <v>0</v>
      </c>
      <c r="AT63" s="318">
        <v>1</v>
      </c>
      <c r="AU63" s="42">
        <f t="shared" si="2"/>
        <v>0</v>
      </c>
      <c r="AV63" s="318">
        <v>0</v>
      </c>
      <c r="AW63" s="318">
        <v>1021</v>
      </c>
      <c r="AX63" s="315"/>
      <c r="AY63" s="636" t="s">
        <v>2048</v>
      </c>
      <c r="AZ63" s="319" t="s">
        <v>2049</v>
      </c>
      <c r="BA63" s="319" t="s">
        <v>2041</v>
      </c>
      <c r="BB63" s="318">
        <v>1</v>
      </c>
      <c r="BC63" s="9"/>
      <c r="BD63" s="9"/>
      <c r="BE63" s="50">
        <f t="shared" si="3"/>
        <v>0</v>
      </c>
      <c r="BF63" s="50">
        <f t="shared" si="4"/>
        <v>0</v>
      </c>
      <c r="BG63" s="50">
        <f t="shared" si="5"/>
        <v>0</v>
      </c>
      <c r="BH63" s="50">
        <f t="shared" si="6"/>
        <v>0</v>
      </c>
      <c r="BI63" s="50">
        <f t="shared" si="7"/>
        <v>0</v>
      </c>
      <c r="BJ63" s="50">
        <f t="shared" si="8"/>
        <v>0</v>
      </c>
      <c r="BK63" s="50">
        <f t="shared" si="9"/>
        <v>0</v>
      </c>
      <c r="BL63" s="50">
        <f t="shared" si="10"/>
        <v>0</v>
      </c>
      <c r="BM63" s="50">
        <f t="shared" si="11"/>
        <v>0</v>
      </c>
      <c r="BN63" s="50">
        <f t="shared" si="12"/>
        <v>0</v>
      </c>
      <c r="BO63" s="50">
        <f t="shared" si="13"/>
        <v>0</v>
      </c>
      <c r="BP63" s="50">
        <f t="shared" si="14"/>
        <v>0</v>
      </c>
      <c r="BQ63" s="4" t="str">
        <f t="shared" si="15"/>
        <v>22,39 2025.03.14</v>
      </c>
      <c r="BR63" s="4" t="str">
        <f t="shared" si="16"/>
        <v>23,36 2025.03.14</v>
      </c>
      <c r="BS63" s="4" t="str">
        <f t="shared" si="17"/>
        <v>В</v>
      </c>
      <c r="BT63" s="10">
        <f t="shared" si="18"/>
        <v>0.94999999995343398</v>
      </c>
      <c r="BU63" s="42">
        <f t="shared" si="19"/>
        <v>1</v>
      </c>
      <c r="BV63" s="11">
        <f t="shared" si="20"/>
        <v>0</v>
      </c>
      <c r="BW63" s="11">
        <f t="shared" si="21"/>
        <v>0</v>
      </c>
      <c r="BX63" s="11">
        <f t="shared" si="22"/>
        <v>1</v>
      </c>
      <c r="BY63" s="11">
        <f t="shared" si="23"/>
        <v>0</v>
      </c>
      <c r="BZ63" s="11">
        <f t="shared" si="24"/>
        <v>0</v>
      </c>
      <c r="CA63" s="11">
        <f t="shared" si="25"/>
        <v>1</v>
      </c>
      <c r="CB63" s="42">
        <f t="shared" si="26"/>
        <v>0</v>
      </c>
      <c r="CC63" s="11">
        <f t="shared" si="27"/>
        <v>0</v>
      </c>
      <c r="CD63" s="11">
        <f t="shared" si="28"/>
        <v>1</v>
      </c>
      <c r="CE63" s="4"/>
      <c r="CF63" s="50">
        <f t="shared" si="29"/>
        <v>0</v>
      </c>
      <c r="CG63" s="50">
        <f t="shared" si="30"/>
        <v>0</v>
      </c>
      <c r="CH63" s="50">
        <f t="shared" si="31"/>
        <v>0</v>
      </c>
      <c r="CI63" s="50">
        <f t="shared" si="32"/>
        <v>0</v>
      </c>
      <c r="CJ63" s="50">
        <f t="shared" si="33"/>
        <v>0</v>
      </c>
      <c r="CK63" s="50">
        <f t="shared" si="34"/>
        <v>0</v>
      </c>
      <c r="CL63" s="50">
        <f t="shared" si="35"/>
        <v>0</v>
      </c>
      <c r="CM63" s="50">
        <f t="shared" si="36"/>
        <v>0</v>
      </c>
      <c r="CN63" s="50">
        <f t="shared" si="37"/>
        <v>0</v>
      </c>
      <c r="CO63" s="50">
        <f t="shared" si="38"/>
        <v>0</v>
      </c>
      <c r="CP63" s="50">
        <f t="shared" si="39"/>
        <v>0</v>
      </c>
      <c r="CQ63" s="50">
        <f t="shared" si="40"/>
        <v>0</v>
      </c>
      <c r="CR63"/>
    </row>
    <row r="64" spans="2:96" s="353" customFormat="1" ht="15.75" customHeight="1" x14ac:dyDescent="0.15">
      <c r="B64" s="59"/>
      <c r="D64" s="130">
        <v>21</v>
      </c>
      <c r="AA64" s="28" t="s">
        <v>701</v>
      </c>
      <c r="AB64" s="31" t="s">
        <v>937</v>
      </c>
      <c r="AC64" s="247" t="s">
        <v>1445</v>
      </c>
      <c r="AD64" s="314" t="s">
        <v>110</v>
      </c>
      <c r="AE64" s="315" t="s">
        <v>1519</v>
      </c>
      <c r="AF64" s="316" t="s">
        <v>1432</v>
      </c>
      <c r="AG64" s="248" t="s">
        <v>1562</v>
      </c>
      <c r="AH64" s="248" t="s">
        <v>1563</v>
      </c>
      <c r="AI64" s="248" t="s">
        <v>100</v>
      </c>
      <c r="AJ64" s="317">
        <v>2.25</v>
      </c>
      <c r="AK64" s="315" t="s">
        <v>1521</v>
      </c>
      <c r="AL64" s="315">
        <v>0</v>
      </c>
      <c r="AM64" s="315">
        <v>0</v>
      </c>
      <c r="AN64" s="42">
        <f t="shared" si="1"/>
        <v>5</v>
      </c>
      <c r="AO64" s="318">
        <v>0</v>
      </c>
      <c r="AP64" s="318">
        <v>0</v>
      </c>
      <c r="AQ64" s="318">
        <v>5</v>
      </c>
      <c r="AR64" s="318">
        <v>0</v>
      </c>
      <c r="AS64" s="318">
        <v>0</v>
      </c>
      <c r="AT64" s="318">
        <v>5</v>
      </c>
      <c r="AU64" s="42">
        <f t="shared" si="2"/>
        <v>0</v>
      </c>
      <c r="AV64" s="318">
        <v>0</v>
      </c>
      <c r="AW64" s="318">
        <v>680</v>
      </c>
      <c r="AX64" s="315"/>
      <c r="AY64" s="636"/>
      <c r="AZ64" s="319"/>
      <c r="BA64" s="319"/>
      <c r="BB64" s="318">
        <v>1</v>
      </c>
      <c r="BC64" s="9"/>
      <c r="BD64" s="9"/>
      <c r="BE64" s="50">
        <f t="shared" si="3"/>
        <v>0</v>
      </c>
      <c r="BF64" s="50">
        <f t="shared" si="4"/>
        <v>0</v>
      </c>
      <c r="BG64" s="50">
        <f t="shared" si="5"/>
        <v>11.25</v>
      </c>
      <c r="BH64" s="50">
        <f t="shared" si="6"/>
        <v>5</v>
      </c>
      <c r="BI64" s="50">
        <f t="shared" si="7"/>
        <v>0</v>
      </c>
      <c r="BJ64" s="50">
        <f t="shared" si="8"/>
        <v>0</v>
      </c>
      <c r="BK64" s="50">
        <f t="shared" si="9"/>
        <v>0</v>
      </c>
      <c r="BL64" s="50">
        <f t="shared" si="10"/>
        <v>0</v>
      </c>
      <c r="BM64" s="50">
        <f t="shared" si="11"/>
        <v>11.25</v>
      </c>
      <c r="BN64" s="50">
        <f t="shared" si="12"/>
        <v>5</v>
      </c>
      <c r="BO64" s="50">
        <f t="shared" si="13"/>
        <v>0</v>
      </c>
      <c r="BP64" s="50">
        <f t="shared" si="14"/>
        <v>0</v>
      </c>
      <c r="BQ64" s="4" t="str">
        <f t="shared" si="15"/>
        <v>10,51 2025.03.15</v>
      </c>
      <c r="BR64" s="4" t="str">
        <f t="shared" si="16"/>
        <v>13,06 2025.03.15</v>
      </c>
      <c r="BS64" s="4" t="str">
        <f t="shared" si="17"/>
        <v>П</v>
      </c>
      <c r="BT64" s="10">
        <f t="shared" si="18"/>
        <v>2.25</v>
      </c>
      <c r="BU64" s="42">
        <f t="shared" si="19"/>
        <v>5</v>
      </c>
      <c r="BV64" s="11">
        <f t="shared" si="20"/>
        <v>0</v>
      </c>
      <c r="BW64" s="11">
        <f t="shared" si="21"/>
        <v>0</v>
      </c>
      <c r="BX64" s="11">
        <f t="shared" si="22"/>
        <v>5</v>
      </c>
      <c r="BY64" s="11">
        <f t="shared" si="23"/>
        <v>0</v>
      </c>
      <c r="BZ64" s="11">
        <f t="shared" si="24"/>
        <v>0</v>
      </c>
      <c r="CA64" s="11">
        <f t="shared" si="25"/>
        <v>5</v>
      </c>
      <c r="CB64" s="42">
        <f t="shared" si="26"/>
        <v>0</v>
      </c>
      <c r="CC64" s="11">
        <f t="shared" si="27"/>
        <v>0</v>
      </c>
      <c r="CD64" s="11">
        <f t="shared" si="28"/>
        <v>1</v>
      </c>
      <c r="CE64" s="4"/>
      <c r="CF64" s="50">
        <f t="shared" si="29"/>
        <v>0</v>
      </c>
      <c r="CG64" s="50">
        <f t="shared" si="30"/>
        <v>0</v>
      </c>
      <c r="CH64" s="50">
        <f t="shared" si="31"/>
        <v>11.25</v>
      </c>
      <c r="CI64" s="50">
        <f t="shared" si="32"/>
        <v>5</v>
      </c>
      <c r="CJ64" s="50">
        <f t="shared" si="33"/>
        <v>0</v>
      </c>
      <c r="CK64" s="50">
        <f t="shared" si="34"/>
        <v>0</v>
      </c>
      <c r="CL64" s="50">
        <f t="shared" si="35"/>
        <v>0</v>
      </c>
      <c r="CM64" s="50">
        <f t="shared" si="36"/>
        <v>0</v>
      </c>
      <c r="CN64" s="50">
        <f t="shared" si="37"/>
        <v>11.25</v>
      </c>
      <c r="CO64" s="50">
        <f t="shared" si="38"/>
        <v>5</v>
      </c>
      <c r="CP64" s="50">
        <f t="shared" si="39"/>
        <v>0</v>
      </c>
      <c r="CQ64" s="50">
        <f t="shared" si="40"/>
        <v>0</v>
      </c>
      <c r="CR64"/>
    </row>
    <row r="65" spans="2:96" s="354" customFormat="1" ht="15.75" customHeight="1" x14ac:dyDescent="0.15">
      <c r="B65" s="59"/>
      <c r="D65" s="130">
        <v>21</v>
      </c>
      <c r="AA65" s="28" t="s">
        <v>701</v>
      </c>
      <c r="AB65" s="31" t="s">
        <v>938</v>
      </c>
      <c r="AC65" s="247" t="s">
        <v>1435</v>
      </c>
      <c r="AD65" s="314" t="s">
        <v>110</v>
      </c>
      <c r="AE65" s="315" t="s">
        <v>1564</v>
      </c>
      <c r="AF65" s="316" t="s">
        <v>1432</v>
      </c>
      <c r="AG65" s="248" t="s">
        <v>1565</v>
      </c>
      <c r="AH65" s="248" t="s">
        <v>1566</v>
      </c>
      <c r="AI65" s="248" t="s">
        <v>100</v>
      </c>
      <c r="AJ65" s="317">
        <v>2.7000000000698501</v>
      </c>
      <c r="AK65" s="315" t="s">
        <v>1567</v>
      </c>
      <c r="AL65" s="315">
        <v>0</v>
      </c>
      <c r="AM65" s="315">
        <v>0</v>
      </c>
      <c r="AN65" s="42">
        <f t="shared" si="1"/>
        <v>1</v>
      </c>
      <c r="AO65" s="318">
        <v>0</v>
      </c>
      <c r="AP65" s="318">
        <v>0</v>
      </c>
      <c r="AQ65" s="318">
        <v>1</v>
      </c>
      <c r="AR65" s="318">
        <v>0</v>
      </c>
      <c r="AS65" s="318">
        <v>0</v>
      </c>
      <c r="AT65" s="318">
        <v>1</v>
      </c>
      <c r="AU65" s="42">
        <f t="shared" si="2"/>
        <v>0</v>
      </c>
      <c r="AV65" s="318">
        <v>0</v>
      </c>
      <c r="AW65" s="318">
        <v>140</v>
      </c>
      <c r="AX65" s="315"/>
      <c r="AY65" s="636"/>
      <c r="AZ65" s="319"/>
      <c r="BA65" s="319"/>
      <c r="BB65" s="318">
        <v>1</v>
      </c>
      <c r="BC65" s="9"/>
      <c r="BD65" s="9"/>
      <c r="BE65" s="50">
        <f t="shared" si="3"/>
        <v>0</v>
      </c>
      <c r="BF65" s="50">
        <f t="shared" si="4"/>
        <v>0</v>
      </c>
      <c r="BG65" s="50">
        <f t="shared" si="5"/>
        <v>2.7000000000698501</v>
      </c>
      <c r="BH65" s="50">
        <f t="shared" si="6"/>
        <v>1</v>
      </c>
      <c r="BI65" s="50">
        <f t="shared" si="7"/>
        <v>0</v>
      </c>
      <c r="BJ65" s="50">
        <f t="shared" si="8"/>
        <v>0</v>
      </c>
      <c r="BK65" s="50">
        <f t="shared" si="9"/>
        <v>0</v>
      </c>
      <c r="BL65" s="50">
        <f t="shared" si="10"/>
        <v>0</v>
      </c>
      <c r="BM65" s="50">
        <f t="shared" si="11"/>
        <v>2.7000000000698501</v>
      </c>
      <c r="BN65" s="50">
        <f t="shared" si="12"/>
        <v>1</v>
      </c>
      <c r="BO65" s="50">
        <f t="shared" si="13"/>
        <v>0</v>
      </c>
      <c r="BP65" s="50">
        <f t="shared" si="14"/>
        <v>0</v>
      </c>
      <c r="BQ65" s="4" t="str">
        <f t="shared" si="15"/>
        <v>11,08 2025.03.15</v>
      </c>
      <c r="BR65" s="4" t="str">
        <f t="shared" si="16"/>
        <v>13,50 2025.03.15</v>
      </c>
      <c r="BS65" s="4" t="str">
        <f t="shared" si="17"/>
        <v>П</v>
      </c>
      <c r="BT65" s="10">
        <f t="shared" si="18"/>
        <v>2.7000000000698501</v>
      </c>
      <c r="BU65" s="42">
        <f t="shared" si="19"/>
        <v>1</v>
      </c>
      <c r="BV65" s="11">
        <f t="shared" si="20"/>
        <v>0</v>
      </c>
      <c r="BW65" s="11">
        <f t="shared" si="21"/>
        <v>0</v>
      </c>
      <c r="BX65" s="11">
        <f t="shared" si="22"/>
        <v>1</v>
      </c>
      <c r="BY65" s="11">
        <f t="shared" si="23"/>
        <v>0</v>
      </c>
      <c r="BZ65" s="11">
        <f t="shared" si="24"/>
        <v>0</v>
      </c>
      <c r="CA65" s="11">
        <f t="shared" si="25"/>
        <v>1</v>
      </c>
      <c r="CB65" s="42">
        <f t="shared" si="26"/>
        <v>0</v>
      </c>
      <c r="CC65" s="11">
        <f t="shared" si="27"/>
        <v>0</v>
      </c>
      <c r="CD65" s="11">
        <f t="shared" si="28"/>
        <v>1</v>
      </c>
      <c r="CE65" s="4"/>
      <c r="CF65" s="50">
        <f t="shared" si="29"/>
        <v>0</v>
      </c>
      <c r="CG65" s="50">
        <f t="shared" si="30"/>
        <v>0</v>
      </c>
      <c r="CH65" s="50">
        <f t="shared" si="31"/>
        <v>2.7000000000698501</v>
      </c>
      <c r="CI65" s="50">
        <f t="shared" si="32"/>
        <v>1</v>
      </c>
      <c r="CJ65" s="50">
        <f t="shared" si="33"/>
        <v>0</v>
      </c>
      <c r="CK65" s="50">
        <f t="shared" si="34"/>
        <v>0</v>
      </c>
      <c r="CL65" s="50">
        <f t="shared" si="35"/>
        <v>0</v>
      </c>
      <c r="CM65" s="50">
        <f t="shared" si="36"/>
        <v>0</v>
      </c>
      <c r="CN65" s="50">
        <f t="shared" si="37"/>
        <v>2.7000000000698501</v>
      </c>
      <c r="CO65" s="50">
        <f t="shared" si="38"/>
        <v>1</v>
      </c>
      <c r="CP65" s="50">
        <f t="shared" si="39"/>
        <v>0</v>
      </c>
      <c r="CQ65" s="50">
        <f t="shared" si="40"/>
        <v>0</v>
      </c>
      <c r="CR65"/>
    </row>
    <row r="66" spans="2:96" s="355" customFormat="1" ht="15.75" customHeight="1" x14ac:dyDescent="0.15">
      <c r="B66" s="59"/>
      <c r="D66" s="130">
        <v>21</v>
      </c>
      <c r="AA66" s="28" t="s">
        <v>701</v>
      </c>
      <c r="AB66" s="31" t="s">
        <v>939</v>
      </c>
      <c r="AC66" s="247" t="s">
        <v>1430</v>
      </c>
      <c r="AD66" s="314" t="s">
        <v>110</v>
      </c>
      <c r="AE66" s="315" t="s">
        <v>1568</v>
      </c>
      <c r="AF66" s="316" t="s">
        <v>1432</v>
      </c>
      <c r="AG66" s="248" t="s">
        <v>1569</v>
      </c>
      <c r="AH66" s="248" t="s">
        <v>1570</v>
      </c>
      <c r="AI66" s="248" t="s">
        <v>122</v>
      </c>
      <c r="AJ66" s="317">
        <v>0.81666666670935195</v>
      </c>
      <c r="AK66" s="315" t="s">
        <v>1571</v>
      </c>
      <c r="AL66" s="315">
        <v>0</v>
      </c>
      <c r="AM66" s="315">
        <v>0</v>
      </c>
      <c r="AN66" s="42">
        <f t="shared" si="1"/>
        <v>2</v>
      </c>
      <c r="AO66" s="318">
        <v>0</v>
      </c>
      <c r="AP66" s="318">
        <v>0</v>
      </c>
      <c r="AQ66" s="318">
        <v>2</v>
      </c>
      <c r="AR66" s="318">
        <v>0</v>
      </c>
      <c r="AS66" s="318">
        <v>0</v>
      </c>
      <c r="AT66" s="318">
        <v>2</v>
      </c>
      <c r="AU66" s="42">
        <f t="shared" si="2"/>
        <v>0</v>
      </c>
      <c r="AV66" s="318">
        <v>0</v>
      </c>
      <c r="AW66" s="318">
        <v>760</v>
      </c>
      <c r="AX66" s="315"/>
      <c r="AY66" s="636" t="s">
        <v>2050</v>
      </c>
      <c r="AZ66" s="319" t="s">
        <v>201</v>
      </c>
      <c r="BA66" s="319" t="s">
        <v>2041</v>
      </c>
      <c r="BB66" s="318">
        <v>0</v>
      </c>
      <c r="BC66" s="9"/>
      <c r="BD66" s="9"/>
      <c r="BE66" s="50">
        <f t="shared" si="3"/>
        <v>0</v>
      </c>
      <c r="BF66" s="50">
        <f t="shared" si="4"/>
        <v>0</v>
      </c>
      <c r="BG66" s="50">
        <f t="shared" si="5"/>
        <v>0</v>
      </c>
      <c r="BH66" s="50">
        <f t="shared" si="6"/>
        <v>0</v>
      </c>
      <c r="BI66" s="50">
        <f t="shared" si="7"/>
        <v>0</v>
      </c>
      <c r="BJ66" s="50">
        <f t="shared" si="8"/>
        <v>0</v>
      </c>
      <c r="BK66" s="50">
        <f t="shared" si="9"/>
        <v>0</v>
      </c>
      <c r="BL66" s="50">
        <f t="shared" si="10"/>
        <v>0</v>
      </c>
      <c r="BM66" s="50">
        <f t="shared" si="11"/>
        <v>0</v>
      </c>
      <c r="BN66" s="50">
        <f t="shared" si="12"/>
        <v>0</v>
      </c>
      <c r="BO66" s="50">
        <f t="shared" si="13"/>
        <v>0</v>
      </c>
      <c r="BP66" s="50">
        <f t="shared" si="14"/>
        <v>0</v>
      </c>
      <c r="BQ66" s="4" t="str">
        <f t="shared" si="15"/>
        <v>17,27 2025.03.17</v>
      </c>
      <c r="BR66" s="4" t="str">
        <f t="shared" si="16"/>
        <v>18,16 2025.03.17</v>
      </c>
      <c r="BS66" s="4" t="str">
        <f t="shared" si="17"/>
        <v>В</v>
      </c>
      <c r="BT66" s="10">
        <f t="shared" si="18"/>
        <v>0.81666666670935195</v>
      </c>
      <c r="BU66" s="42">
        <f t="shared" si="19"/>
        <v>2</v>
      </c>
      <c r="BV66" s="11">
        <f t="shared" si="20"/>
        <v>0</v>
      </c>
      <c r="BW66" s="11">
        <f t="shared" si="21"/>
        <v>0</v>
      </c>
      <c r="BX66" s="11">
        <f t="shared" si="22"/>
        <v>2</v>
      </c>
      <c r="BY66" s="11">
        <f t="shared" si="23"/>
        <v>0</v>
      </c>
      <c r="BZ66" s="11">
        <f t="shared" si="24"/>
        <v>0</v>
      </c>
      <c r="CA66" s="11">
        <f t="shared" si="25"/>
        <v>2</v>
      </c>
      <c r="CB66" s="42">
        <f t="shared" si="26"/>
        <v>0</v>
      </c>
      <c r="CC66" s="11">
        <f t="shared" si="27"/>
        <v>0</v>
      </c>
      <c r="CD66" s="11">
        <f t="shared" si="28"/>
        <v>0</v>
      </c>
      <c r="CE66" s="4"/>
      <c r="CF66" s="50">
        <f t="shared" si="29"/>
        <v>0</v>
      </c>
      <c r="CG66" s="50">
        <f t="shared" si="30"/>
        <v>0</v>
      </c>
      <c r="CH66" s="50">
        <f t="shared" si="31"/>
        <v>0</v>
      </c>
      <c r="CI66" s="50">
        <f t="shared" si="32"/>
        <v>0</v>
      </c>
      <c r="CJ66" s="50">
        <f t="shared" si="33"/>
        <v>0</v>
      </c>
      <c r="CK66" s="50">
        <f t="shared" si="34"/>
        <v>0</v>
      </c>
      <c r="CL66" s="50">
        <f t="shared" si="35"/>
        <v>0</v>
      </c>
      <c r="CM66" s="50">
        <f t="shared" si="36"/>
        <v>0</v>
      </c>
      <c r="CN66" s="50">
        <f t="shared" si="37"/>
        <v>0</v>
      </c>
      <c r="CO66" s="50">
        <f t="shared" si="38"/>
        <v>0</v>
      </c>
      <c r="CP66" s="50">
        <f t="shared" si="39"/>
        <v>0</v>
      </c>
      <c r="CQ66" s="50">
        <f t="shared" si="40"/>
        <v>0</v>
      </c>
      <c r="CR66"/>
    </row>
    <row r="67" spans="2:96" s="356" customFormat="1" ht="15.75" customHeight="1" x14ac:dyDescent="0.15">
      <c r="B67" s="59"/>
      <c r="D67" s="130">
        <v>21</v>
      </c>
      <c r="AA67" s="28" t="s">
        <v>701</v>
      </c>
      <c r="AB67" s="31" t="s">
        <v>940</v>
      </c>
      <c r="AC67" s="247" t="s">
        <v>1435</v>
      </c>
      <c r="AD67" s="314" t="s">
        <v>110</v>
      </c>
      <c r="AE67" s="315" t="s">
        <v>1572</v>
      </c>
      <c r="AF67" s="316" t="s">
        <v>1432</v>
      </c>
      <c r="AG67" s="248" t="s">
        <v>1573</v>
      </c>
      <c r="AH67" s="248" t="s">
        <v>1574</v>
      </c>
      <c r="AI67" s="248" t="s">
        <v>100</v>
      </c>
      <c r="AJ67" s="317">
        <v>3.3000000001047698</v>
      </c>
      <c r="AK67" s="315" t="s">
        <v>1575</v>
      </c>
      <c r="AL67" s="315">
        <v>0</v>
      </c>
      <c r="AM67" s="315">
        <v>0</v>
      </c>
      <c r="AN67" s="42">
        <f t="shared" si="1"/>
        <v>1</v>
      </c>
      <c r="AO67" s="318">
        <v>0</v>
      </c>
      <c r="AP67" s="318">
        <v>0</v>
      </c>
      <c r="AQ67" s="318">
        <v>1</v>
      </c>
      <c r="AR67" s="318">
        <v>0</v>
      </c>
      <c r="AS67" s="318">
        <v>0</v>
      </c>
      <c r="AT67" s="318">
        <v>1</v>
      </c>
      <c r="AU67" s="42">
        <f t="shared" si="2"/>
        <v>0</v>
      </c>
      <c r="AV67" s="318">
        <v>0</v>
      </c>
      <c r="AW67" s="318">
        <v>140</v>
      </c>
      <c r="AX67" s="315"/>
      <c r="AY67" s="636"/>
      <c r="AZ67" s="319"/>
      <c r="BA67" s="319"/>
      <c r="BB67" s="318">
        <v>1</v>
      </c>
      <c r="BC67" s="9"/>
      <c r="BD67" s="9"/>
      <c r="BE67" s="50">
        <f t="shared" si="3"/>
        <v>0</v>
      </c>
      <c r="BF67" s="50">
        <f t="shared" si="4"/>
        <v>0</v>
      </c>
      <c r="BG67" s="50">
        <f t="shared" si="5"/>
        <v>3.3000000001047698</v>
      </c>
      <c r="BH67" s="50">
        <f t="shared" si="6"/>
        <v>1</v>
      </c>
      <c r="BI67" s="50">
        <f t="shared" si="7"/>
        <v>0</v>
      </c>
      <c r="BJ67" s="50">
        <f t="shared" si="8"/>
        <v>0</v>
      </c>
      <c r="BK67" s="50">
        <f t="shared" si="9"/>
        <v>0</v>
      </c>
      <c r="BL67" s="50">
        <f t="shared" si="10"/>
        <v>0</v>
      </c>
      <c r="BM67" s="50">
        <f t="shared" si="11"/>
        <v>3.3000000001047698</v>
      </c>
      <c r="BN67" s="50">
        <f t="shared" si="12"/>
        <v>1</v>
      </c>
      <c r="BO67" s="50">
        <f t="shared" si="13"/>
        <v>0</v>
      </c>
      <c r="BP67" s="50">
        <f t="shared" si="14"/>
        <v>0</v>
      </c>
      <c r="BQ67" s="4" t="str">
        <f t="shared" si="15"/>
        <v>10,55 2025.03.18</v>
      </c>
      <c r="BR67" s="4" t="str">
        <f t="shared" si="16"/>
        <v>14,13 2025.03.18</v>
      </c>
      <c r="BS67" s="4" t="str">
        <f t="shared" si="17"/>
        <v>П</v>
      </c>
      <c r="BT67" s="10">
        <f t="shared" si="18"/>
        <v>3.3000000001047698</v>
      </c>
      <c r="BU67" s="42">
        <f t="shared" si="19"/>
        <v>1</v>
      </c>
      <c r="BV67" s="11">
        <f t="shared" si="20"/>
        <v>0</v>
      </c>
      <c r="BW67" s="11">
        <f t="shared" si="21"/>
        <v>0</v>
      </c>
      <c r="BX67" s="11">
        <f t="shared" si="22"/>
        <v>1</v>
      </c>
      <c r="BY67" s="11">
        <f t="shared" si="23"/>
        <v>0</v>
      </c>
      <c r="BZ67" s="11">
        <f t="shared" si="24"/>
        <v>0</v>
      </c>
      <c r="CA67" s="11">
        <f t="shared" si="25"/>
        <v>1</v>
      </c>
      <c r="CB67" s="42">
        <f t="shared" si="26"/>
        <v>0</v>
      </c>
      <c r="CC67" s="11">
        <f t="shared" si="27"/>
        <v>0</v>
      </c>
      <c r="CD67" s="11">
        <f t="shared" si="28"/>
        <v>1</v>
      </c>
      <c r="CE67" s="4"/>
      <c r="CF67" s="50">
        <f t="shared" si="29"/>
        <v>0</v>
      </c>
      <c r="CG67" s="50">
        <f t="shared" si="30"/>
        <v>0</v>
      </c>
      <c r="CH67" s="50">
        <f t="shared" si="31"/>
        <v>3.3000000001047698</v>
      </c>
      <c r="CI67" s="50">
        <f t="shared" si="32"/>
        <v>1</v>
      </c>
      <c r="CJ67" s="50">
        <f t="shared" si="33"/>
        <v>0</v>
      </c>
      <c r="CK67" s="50">
        <f t="shared" si="34"/>
        <v>0</v>
      </c>
      <c r="CL67" s="50">
        <f t="shared" si="35"/>
        <v>0</v>
      </c>
      <c r="CM67" s="50">
        <f t="shared" si="36"/>
        <v>0</v>
      </c>
      <c r="CN67" s="50">
        <f t="shared" si="37"/>
        <v>3.3000000001047698</v>
      </c>
      <c r="CO67" s="50">
        <f t="shared" si="38"/>
        <v>1</v>
      </c>
      <c r="CP67" s="50">
        <f t="shared" si="39"/>
        <v>0</v>
      </c>
      <c r="CQ67" s="50">
        <f t="shared" si="40"/>
        <v>0</v>
      </c>
      <c r="CR67"/>
    </row>
    <row r="68" spans="2:96" s="357" customFormat="1" ht="15.75" customHeight="1" x14ac:dyDescent="0.15">
      <c r="B68" s="59"/>
      <c r="D68" s="130">
        <v>21</v>
      </c>
      <c r="AA68" s="28" t="s">
        <v>701</v>
      </c>
      <c r="AB68" s="31" t="s">
        <v>941</v>
      </c>
      <c r="AC68" s="247" t="s">
        <v>1440</v>
      </c>
      <c r="AD68" s="314" t="s">
        <v>110</v>
      </c>
      <c r="AE68" s="315" t="s">
        <v>1576</v>
      </c>
      <c r="AF68" s="316" t="s">
        <v>1432</v>
      </c>
      <c r="AG68" s="248" t="s">
        <v>1577</v>
      </c>
      <c r="AH68" s="248" t="s">
        <v>1578</v>
      </c>
      <c r="AI68" s="248" t="s">
        <v>100</v>
      </c>
      <c r="AJ68" s="317">
        <v>3.6000000000349202</v>
      </c>
      <c r="AK68" s="315" t="s">
        <v>1579</v>
      </c>
      <c r="AL68" s="315">
        <v>0</v>
      </c>
      <c r="AM68" s="315">
        <v>0</v>
      </c>
      <c r="AN68" s="42">
        <f t="shared" si="1"/>
        <v>1</v>
      </c>
      <c r="AO68" s="318">
        <v>0</v>
      </c>
      <c r="AP68" s="318">
        <v>0</v>
      </c>
      <c r="AQ68" s="318">
        <v>1</v>
      </c>
      <c r="AR68" s="318">
        <v>0</v>
      </c>
      <c r="AS68" s="318">
        <v>0</v>
      </c>
      <c r="AT68" s="318">
        <v>1</v>
      </c>
      <c r="AU68" s="42">
        <f t="shared" si="2"/>
        <v>0</v>
      </c>
      <c r="AV68" s="318">
        <v>0</v>
      </c>
      <c r="AW68" s="318">
        <v>300</v>
      </c>
      <c r="AX68" s="315"/>
      <c r="AY68" s="636"/>
      <c r="AZ68" s="319"/>
      <c r="BA68" s="319"/>
      <c r="BB68" s="318">
        <v>1</v>
      </c>
      <c r="BC68" s="9"/>
      <c r="BD68" s="9"/>
      <c r="BE68" s="50">
        <f t="shared" si="3"/>
        <v>0</v>
      </c>
      <c r="BF68" s="50">
        <f t="shared" si="4"/>
        <v>0</v>
      </c>
      <c r="BG68" s="50">
        <f t="shared" si="5"/>
        <v>3.6000000000349202</v>
      </c>
      <c r="BH68" s="50">
        <f t="shared" si="6"/>
        <v>1</v>
      </c>
      <c r="BI68" s="50">
        <f t="shared" si="7"/>
        <v>0</v>
      </c>
      <c r="BJ68" s="50">
        <f t="shared" si="8"/>
        <v>0</v>
      </c>
      <c r="BK68" s="50">
        <f t="shared" si="9"/>
        <v>0</v>
      </c>
      <c r="BL68" s="50">
        <f t="shared" si="10"/>
        <v>0</v>
      </c>
      <c r="BM68" s="50">
        <f t="shared" si="11"/>
        <v>3.6000000000349202</v>
      </c>
      <c r="BN68" s="50">
        <f t="shared" si="12"/>
        <v>1</v>
      </c>
      <c r="BO68" s="50">
        <f t="shared" si="13"/>
        <v>0</v>
      </c>
      <c r="BP68" s="50">
        <f t="shared" si="14"/>
        <v>0</v>
      </c>
      <c r="BQ68" s="4" t="str">
        <f t="shared" si="15"/>
        <v>12,06 2025.03.18</v>
      </c>
      <c r="BR68" s="4" t="str">
        <f t="shared" si="16"/>
        <v>15,42 2025.03.18</v>
      </c>
      <c r="BS68" s="4" t="str">
        <f t="shared" si="17"/>
        <v>П</v>
      </c>
      <c r="BT68" s="10">
        <f t="shared" si="18"/>
        <v>3.6000000000349202</v>
      </c>
      <c r="BU68" s="42">
        <f t="shared" si="19"/>
        <v>1</v>
      </c>
      <c r="BV68" s="11">
        <f t="shared" si="20"/>
        <v>0</v>
      </c>
      <c r="BW68" s="11">
        <f t="shared" si="21"/>
        <v>0</v>
      </c>
      <c r="BX68" s="11">
        <f t="shared" si="22"/>
        <v>1</v>
      </c>
      <c r="BY68" s="11">
        <f t="shared" si="23"/>
        <v>0</v>
      </c>
      <c r="BZ68" s="11">
        <f t="shared" si="24"/>
        <v>0</v>
      </c>
      <c r="CA68" s="11">
        <f t="shared" si="25"/>
        <v>1</v>
      </c>
      <c r="CB68" s="42">
        <f t="shared" si="26"/>
        <v>0</v>
      </c>
      <c r="CC68" s="11">
        <f t="shared" si="27"/>
        <v>0</v>
      </c>
      <c r="CD68" s="11">
        <f t="shared" si="28"/>
        <v>1</v>
      </c>
      <c r="CE68" s="4"/>
      <c r="CF68" s="50">
        <f t="shared" si="29"/>
        <v>0</v>
      </c>
      <c r="CG68" s="50">
        <f t="shared" si="30"/>
        <v>0</v>
      </c>
      <c r="CH68" s="50">
        <f t="shared" si="31"/>
        <v>3.6000000000349202</v>
      </c>
      <c r="CI68" s="50">
        <f t="shared" si="32"/>
        <v>1</v>
      </c>
      <c r="CJ68" s="50">
        <f t="shared" si="33"/>
        <v>0</v>
      </c>
      <c r="CK68" s="50">
        <f t="shared" si="34"/>
        <v>0</v>
      </c>
      <c r="CL68" s="50">
        <f t="shared" si="35"/>
        <v>0</v>
      </c>
      <c r="CM68" s="50">
        <f t="shared" si="36"/>
        <v>0</v>
      </c>
      <c r="CN68" s="50">
        <f t="shared" si="37"/>
        <v>3.6000000000349202</v>
      </c>
      <c r="CO68" s="50">
        <f t="shared" si="38"/>
        <v>1</v>
      </c>
      <c r="CP68" s="50">
        <f t="shared" si="39"/>
        <v>0</v>
      </c>
      <c r="CQ68" s="50">
        <f t="shared" si="40"/>
        <v>0</v>
      </c>
      <c r="CR68"/>
    </row>
    <row r="69" spans="2:96" s="358" customFormat="1" ht="15.75" customHeight="1" x14ac:dyDescent="0.15">
      <c r="B69" s="59"/>
      <c r="D69" s="130">
        <v>21</v>
      </c>
      <c r="AA69" s="28" t="s">
        <v>701</v>
      </c>
      <c r="AB69" s="31" t="s">
        <v>942</v>
      </c>
      <c r="AC69" s="247" t="s">
        <v>1445</v>
      </c>
      <c r="AD69" s="314" t="s">
        <v>110</v>
      </c>
      <c r="AE69" s="315" t="s">
        <v>1580</v>
      </c>
      <c r="AF69" s="316" t="s">
        <v>1432</v>
      </c>
      <c r="AG69" s="248" t="s">
        <v>1581</v>
      </c>
      <c r="AH69" s="248" t="s">
        <v>1582</v>
      </c>
      <c r="AI69" s="248" t="s">
        <v>122</v>
      </c>
      <c r="AJ69" s="317">
        <v>2.1833333332906499</v>
      </c>
      <c r="AK69" s="315" t="s">
        <v>1583</v>
      </c>
      <c r="AL69" s="315">
        <v>0</v>
      </c>
      <c r="AM69" s="315">
        <v>0</v>
      </c>
      <c r="AN69" s="42">
        <f t="shared" si="1"/>
        <v>1</v>
      </c>
      <c r="AO69" s="318">
        <v>0</v>
      </c>
      <c r="AP69" s="318">
        <v>0</v>
      </c>
      <c r="AQ69" s="318">
        <v>1</v>
      </c>
      <c r="AR69" s="318">
        <v>0</v>
      </c>
      <c r="AS69" s="318">
        <v>0</v>
      </c>
      <c r="AT69" s="318">
        <v>1</v>
      </c>
      <c r="AU69" s="42">
        <f t="shared" si="2"/>
        <v>0</v>
      </c>
      <c r="AV69" s="318">
        <v>0</v>
      </c>
      <c r="AW69" s="318">
        <v>408</v>
      </c>
      <c r="AX69" s="315"/>
      <c r="AY69" s="636" t="s">
        <v>2051</v>
      </c>
      <c r="AZ69" s="319" t="s">
        <v>201</v>
      </c>
      <c r="BA69" s="319" t="s">
        <v>2041</v>
      </c>
      <c r="BB69" s="318">
        <v>0</v>
      </c>
      <c r="BC69" s="9"/>
      <c r="BD69" s="9"/>
      <c r="BE69" s="50">
        <f t="shared" si="3"/>
        <v>0</v>
      </c>
      <c r="BF69" s="50">
        <f t="shared" si="4"/>
        <v>0</v>
      </c>
      <c r="BG69" s="50">
        <f t="shared" si="5"/>
        <v>0</v>
      </c>
      <c r="BH69" s="50">
        <f t="shared" si="6"/>
        <v>0</v>
      </c>
      <c r="BI69" s="50">
        <f t="shared" si="7"/>
        <v>0</v>
      </c>
      <c r="BJ69" s="50">
        <f t="shared" si="8"/>
        <v>0</v>
      </c>
      <c r="BK69" s="50">
        <f t="shared" si="9"/>
        <v>0</v>
      </c>
      <c r="BL69" s="50">
        <f t="shared" si="10"/>
        <v>0</v>
      </c>
      <c r="BM69" s="50">
        <f t="shared" si="11"/>
        <v>0</v>
      </c>
      <c r="BN69" s="50">
        <f t="shared" si="12"/>
        <v>0</v>
      </c>
      <c r="BO69" s="50">
        <f t="shared" si="13"/>
        <v>0</v>
      </c>
      <c r="BP69" s="50">
        <f t="shared" si="14"/>
        <v>0</v>
      </c>
      <c r="BQ69" s="4" t="str">
        <f t="shared" si="15"/>
        <v>20,00 2025.03.18</v>
      </c>
      <c r="BR69" s="4" t="str">
        <f t="shared" si="16"/>
        <v>22,11 2025.03.18</v>
      </c>
      <c r="BS69" s="4" t="str">
        <f t="shared" si="17"/>
        <v>В</v>
      </c>
      <c r="BT69" s="10">
        <f t="shared" si="18"/>
        <v>2.1833333332906499</v>
      </c>
      <c r="BU69" s="42">
        <f t="shared" si="19"/>
        <v>1</v>
      </c>
      <c r="BV69" s="11">
        <f t="shared" si="20"/>
        <v>0</v>
      </c>
      <c r="BW69" s="11">
        <f t="shared" si="21"/>
        <v>0</v>
      </c>
      <c r="BX69" s="11">
        <f t="shared" si="22"/>
        <v>1</v>
      </c>
      <c r="BY69" s="11">
        <f t="shared" si="23"/>
        <v>0</v>
      </c>
      <c r="BZ69" s="11">
        <f t="shared" si="24"/>
        <v>0</v>
      </c>
      <c r="CA69" s="11">
        <f t="shared" si="25"/>
        <v>1</v>
      </c>
      <c r="CB69" s="42">
        <f t="shared" si="26"/>
        <v>0</v>
      </c>
      <c r="CC69" s="11">
        <f t="shared" si="27"/>
        <v>0</v>
      </c>
      <c r="CD69" s="11">
        <f t="shared" si="28"/>
        <v>0</v>
      </c>
      <c r="CE69" s="4"/>
      <c r="CF69" s="50">
        <f t="shared" si="29"/>
        <v>0</v>
      </c>
      <c r="CG69" s="50">
        <f t="shared" si="30"/>
        <v>0</v>
      </c>
      <c r="CH69" s="50">
        <f t="shared" si="31"/>
        <v>0</v>
      </c>
      <c r="CI69" s="50">
        <f t="shared" si="32"/>
        <v>0</v>
      </c>
      <c r="CJ69" s="50">
        <f t="shared" si="33"/>
        <v>0</v>
      </c>
      <c r="CK69" s="50">
        <f t="shared" si="34"/>
        <v>0</v>
      </c>
      <c r="CL69" s="50">
        <f t="shared" si="35"/>
        <v>0</v>
      </c>
      <c r="CM69" s="50">
        <f t="shared" si="36"/>
        <v>0</v>
      </c>
      <c r="CN69" s="50">
        <f t="shared" si="37"/>
        <v>0</v>
      </c>
      <c r="CO69" s="50">
        <f t="shared" si="38"/>
        <v>0</v>
      </c>
      <c r="CP69" s="50">
        <f t="shared" si="39"/>
        <v>0</v>
      </c>
      <c r="CQ69" s="50">
        <f t="shared" si="40"/>
        <v>0</v>
      </c>
      <c r="CR69"/>
    </row>
    <row r="70" spans="2:96" s="359" customFormat="1" ht="15.75" customHeight="1" x14ac:dyDescent="0.15">
      <c r="B70" s="59"/>
      <c r="D70" s="130">
        <v>21</v>
      </c>
      <c r="AA70" s="28" t="s">
        <v>701</v>
      </c>
      <c r="AB70" s="31" t="s">
        <v>943</v>
      </c>
      <c r="AC70" s="247" t="s">
        <v>1440</v>
      </c>
      <c r="AD70" s="314" t="s">
        <v>110</v>
      </c>
      <c r="AE70" s="315" t="s">
        <v>1584</v>
      </c>
      <c r="AF70" s="316" t="s">
        <v>1432</v>
      </c>
      <c r="AG70" s="248" t="s">
        <v>1585</v>
      </c>
      <c r="AH70" s="248" t="s">
        <v>1586</v>
      </c>
      <c r="AI70" s="248" t="s">
        <v>100</v>
      </c>
      <c r="AJ70" s="317">
        <v>2.4333333334070599</v>
      </c>
      <c r="AK70" s="315" t="s">
        <v>1587</v>
      </c>
      <c r="AL70" s="315">
        <v>0</v>
      </c>
      <c r="AM70" s="315">
        <v>0</v>
      </c>
      <c r="AN70" s="42">
        <f t="shared" si="1"/>
        <v>1</v>
      </c>
      <c r="AO70" s="318">
        <v>0</v>
      </c>
      <c r="AP70" s="318">
        <v>0</v>
      </c>
      <c r="AQ70" s="318">
        <v>1</v>
      </c>
      <c r="AR70" s="318">
        <v>0</v>
      </c>
      <c r="AS70" s="318">
        <v>0</v>
      </c>
      <c r="AT70" s="318">
        <v>1</v>
      </c>
      <c r="AU70" s="42">
        <f t="shared" si="2"/>
        <v>0</v>
      </c>
      <c r="AV70" s="318">
        <v>0</v>
      </c>
      <c r="AW70" s="318">
        <v>560</v>
      </c>
      <c r="AX70" s="315"/>
      <c r="AY70" s="636"/>
      <c r="AZ70" s="319"/>
      <c r="BA70" s="319"/>
      <c r="BB70" s="318">
        <v>1</v>
      </c>
      <c r="BC70" s="9"/>
      <c r="BD70" s="9"/>
      <c r="BE70" s="50">
        <f t="shared" si="3"/>
        <v>0</v>
      </c>
      <c r="BF70" s="50">
        <f t="shared" si="4"/>
        <v>0</v>
      </c>
      <c r="BG70" s="50">
        <f t="shared" si="5"/>
        <v>2.4333333334070599</v>
      </c>
      <c r="BH70" s="50">
        <f t="shared" si="6"/>
        <v>1</v>
      </c>
      <c r="BI70" s="50">
        <f t="shared" si="7"/>
        <v>0</v>
      </c>
      <c r="BJ70" s="50">
        <f t="shared" si="8"/>
        <v>0</v>
      </c>
      <c r="BK70" s="50">
        <f t="shared" si="9"/>
        <v>0</v>
      </c>
      <c r="BL70" s="50">
        <f t="shared" si="10"/>
        <v>0</v>
      </c>
      <c r="BM70" s="50">
        <f t="shared" si="11"/>
        <v>2.4333333334070599</v>
      </c>
      <c r="BN70" s="50">
        <f t="shared" si="12"/>
        <v>1</v>
      </c>
      <c r="BO70" s="50">
        <f t="shared" si="13"/>
        <v>0</v>
      </c>
      <c r="BP70" s="50">
        <f t="shared" si="14"/>
        <v>0</v>
      </c>
      <c r="BQ70" s="4" t="str">
        <f t="shared" si="15"/>
        <v>10,45 2025.03.19</v>
      </c>
      <c r="BR70" s="4" t="str">
        <f t="shared" si="16"/>
        <v>13,11 2025.03.19</v>
      </c>
      <c r="BS70" s="4" t="str">
        <f t="shared" si="17"/>
        <v>П</v>
      </c>
      <c r="BT70" s="10">
        <f t="shared" si="18"/>
        <v>2.4333333334070599</v>
      </c>
      <c r="BU70" s="42">
        <f t="shared" si="19"/>
        <v>1</v>
      </c>
      <c r="BV70" s="11">
        <f t="shared" si="20"/>
        <v>0</v>
      </c>
      <c r="BW70" s="11">
        <f t="shared" si="21"/>
        <v>0</v>
      </c>
      <c r="BX70" s="11">
        <f t="shared" si="22"/>
        <v>1</v>
      </c>
      <c r="BY70" s="11">
        <f t="shared" si="23"/>
        <v>0</v>
      </c>
      <c r="BZ70" s="11">
        <f t="shared" si="24"/>
        <v>0</v>
      </c>
      <c r="CA70" s="11">
        <f t="shared" si="25"/>
        <v>1</v>
      </c>
      <c r="CB70" s="42">
        <f t="shared" si="26"/>
        <v>0</v>
      </c>
      <c r="CC70" s="11">
        <f t="shared" si="27"/>
        <v>0</v>
      </c>
      <c r="CD70" s="11">
        <f t="shared" si="28"/>
        <v>1</v>
      </c>
      <c r="CE70" s="4"/>
      <c r="CF70" s="50">
        <f t="shared" si="29"/>
        <v>0</v>
      </c>
      <c r="CG70" s="50">
        <f t="shared" si="30"/>
        <v>0</v>
      </c>
      <c r="CH70" s="50">
        <f t="shared" si="31"/>
        <v>2.4333333334070599</v>
      </c>
      <c r="CI70" s="50">
        <f t="shared" si="32"/>
        <v>1</v>
      </c>
      <c r="CJ70" s="50">
        <f t="shared" si="33"/>
        <v>0</v>
      </c>
      <c r="CK70" s="50">
        <f t="shared" si="34"/>
        <v>0</v>
      </c>
      <c r="CL70" s="50">
        <f t="shared" si="35"/>
        <v>0</v>
      </c>
      <c r="CM70" s="50">
        <f t="shared" si="36"/>
        <v>0</v>
      </c>
      <c r="CN70" s="50">
        <f t="shared" si="37"/>
        <v>2.4333333334070599</v>
      </c>
      <c r="CO70" s="50">
        <f t="shared" si="38"/>
        <v>1</v>
      </c>
      <c r="CP70" s="50">
        <f t="shared" si="39"/>
        <v>0</v>
      </c>
      <c r="CQ70" s="50">
        <f t="shared" si="40"/>
        <v>0</v>
      </c>
      <c r="CR70"/>
    </row>
    <row r="71" spans="2:96" s="360" customFormat="1" ht="15.75" customHeight="1" x14ac:dyDescent="0.15">
      <c r="B71" s="59"/>
      <c r="D71" s="130">
        <v>21</v>
      </c>
      <c r="AA71" s="28" t="s">
        <v>701</v>
      </c>
      <c r="AB71" s="31" t="s">
        <v>944</v>
      </c>
      <c r="AC71" s="247" t="s">
        <v>1445</v>
      </c>
      <c r="AD71" s="314" t="s">
        <v>110</v>
      </c>
      <c r="AE71" s="315" t="s">
        <v>1588</v>
      </c>
      <c r="AF71" s="316" t="s">
        <v>1432</v>
      </c>
      <c r="AG71" s="248" t="s">
        <v>1589</v>
      </c>
      <c r="AH71" s="248" t="s">
        <v>1590</v>
      </c>
      <c r="AI71" s="248" t="s">
        <v>100</v>
      </c>
      <c r="AJ71" s="317">
        <v>0.19999999995343401</v>
      </c>
      <c r="AK71" s="315" t="s">
        <v>1591</v>
      </c>
      <c r="AL71" s="315">
        <v>0</v>
      </c>
      <c r="AM71" s="315">
        <v>0</v>
      </c>
      <c r="AN71" s="42">
        <f t="shared" si="1"/>
        <v>2</v>
      </c>
      <c r="AO71" s="318">
        <v>0</v>
      </c>
      <c r="AP71" s="318">
        <v>0</v>
      </c>
      <c r="AQ71" s="318">
        <v>2</v>
      </c>
      <c r="AR71" s="318">
        <v>0</v>
      </c>
      <c r="AS71" s="318">
        <v>0</v>
      </c>
      <c r="AT71" s="318">
        <v>2</v>
      </c>
      <c r="AU71" s="42">
        <f t="shared" si="2"/>
        <v>0</v>
      </c>
      <c r="AV71" s="318">
        <v>0</v>
      </c>
      <c r="AW71" s="318">
        <v>300</v>
      </c>
      <c r="AX71" s="315"/>
      <c r="AY71" s="636"/>
      <c r="AZ71" s="319"/>
      <c r="BA71" s="319"/>
      <c r="BB71" s="318">
        <v>1</v>
      </c>
      <c r="BC71" s="9"/>
      <c r="BD71" s="9"/>
      <c r="BE71" s="50">
        <f t="shared" si="3"/>
        <v>0</v>
      </c>
      <c r="BF71" s="50">
        <f t="shared" si="4"/>
        <v>0</v>
      </c>
      <c r="BG71" s="50">
        <f t="shared" si="5"/>
        <v>0.39999999990686802</v>
      </c>
      <c r="BH71" s="50">
        <f t="shared" si="6"/>
        <v>2</v>
      </c>
      <c r="BI71" s="50">
        <f t="shared" si="7"/>
        <v>0</v>
      </c>
      <c r="BJ71" s="50">
        <f t="shared" si="8"/>
        <v>0</v>
      </c>
      <c r="BK71" s="50">
        <f t="shared" si="9"/>
        <v>0</v>
      </c>
      <c r="BL71" s="50">
        <f t="shared" si="10"/>
        <v>0</v>
      </c>
      <c r="BM71" s="50">
        <f t="shared" si="11"/>
        <v>0.39999999990686802</v>
      </c>
      <c r="BN71" s="50">
        <f t="shared" si="12"/>
        <v>2</v>
      </c>
      <c r="BO71" s="50">
        <f t="shared" si="13"/>
        <v>0</v>
      </c>
      <c r="BP71" s="50">
        <f t="shared" si="14"/>
        <v>0</v>
      </c>
      <c r="BQ71" s="4" t="str">
        <f t="shared" si="15"/>
        <v>16,50 2025.03.19</v>
      </c>
      <c r="BR71" s="4" t="str">
        <f t="shared" si="16"/>
        <v>17,02 2025.03.19</v>
      </c>
      <c r="BS71" s="4" t="str">
        <f t="shared" si="17"/>
        <v>П</v>
      </c>
      <c r="BT71" s="10">
        <f t="shared" si="18"/>
        <v>0.19999999995343401</v>
      </c>
      <c r="BU71" s="42">
        <f t="shared" si="19"/>
        <v>2</v>
      </c>
      <c r="BV71" s="11">
        <f t="shared" si="20"/>
        <v>0</v>
      </c>
      <c r="BW71" s="11">
        <f t="shared" si="21"/>
        <v>0</v>
      </c>
      <c r="BX71" s="11">
        <f t="shared" si="22"/>
        <v>2</v>
      </c>
      <c r="BY71" s="11">
        <f t="shared" si="23"/>
        <v>0</v>
      </c>
      <c r="BZ71" s="11">
        <f t="shared" si="24"/>
        <v>0</v>
      </c>
      <c r="CA71" s="11">
        <f t="shared" si="25"/>
        <v>2</v>
      </c>
      <c r="CB71" s="42">
        <f t="shared" si="26"/>
        <v>0</v>
      </c>
      <c r="CC71" s="11">
        <f t="shared" si="27"/>
        <v>0</v>
      </c>
      <c r="CD71" s="11">
        <f t="shared" si="28"/>
        <v>1</v>
      </c>
      <c r="CE71" s="4"/>
      <c r="CF71" s="50">
        <f t="shared" si="29"/>
        <v>0</v>
      </c>
      <c r="CG71" s="50">
        <f t="shared" si="30"/>
        <v>0</v>
      </c>
      <c r="CH71" s="50">
        <f t="shared" si="31"/>
        <v>0.39999999990686802</v>
      </c>
      <c r="CI71" s="50">
        <f t="shared" si="32"/>
        <v>2</v>
      </c>
      <c r="CJ71" s="50">
        <f t="shared" si="33"/>
        <v>0</v>
      </c>
      <c r="CK71" s="50">
        <f t="shared" si="34"/>
        <v>0</v>
      </c>
      <c r="CL71" s="50">
        <f t="shared" si="35"/>
        <v>0</v>
      </c>
      <c r="CM71" s="50">
        <f t="shared" si="36"/>
        <v>0</v>
      </c>
      <c r="CN71" s="50">
        <f t="shared" si="37"/>
        <v>0.39999999990686802</v>
      </c>
      <c r="CO71" s="50">
        <f t="shared" si="38"/>
        <v>2</v>
      </c>
      <c r="CP71" s="50">
        <f t="shared" si="39"/>
        <v>0</v>
      </c>
      <c r="CQ71" s="50">
        <f t="shared" si="40"/>
        <v>0</v>
      </c>
      <c r="CR71"/>
    </row>
    <row r="72" spans="2:96" s="361" customFormat="1" ht="15.75" customHeight="1" x14ac:dyDescent="0.15">
      <c r="B72" s="59"/>
      <c r="D72" s="130">
        <v>21</v>
      </c>
      <c r="AA72" s="28" t="s">
        <v>701</v>
      </c>
      <c r="AB72" s="31" t="s">
        <v>945</v>
      </c>
      <c r="AC72" s="247" t="s">
        <v>1445</v>
      </c>
      <c r="AD72" s="314" t="s">
        <v>110</v>
      </c>
      <c r="AE72" s="315" t="s">
        <v>1592</v>
      </c>
      <c r="AF72" s="316" t="s">
        <v>1432</v>
      </c>
      <c r="AG72" s="248" t="s">
        <v>1593</v>
      </c>
      <c r="AH72" s="248" t="s">
        <v>1594</v>
      </c>
      <c r="AI72" s="248" t="s">
        <v>100</v>
      </c>
      <c r="AJ72" s="317">
        <v>6.6666666709352299E-2</v>
      </c>
      <c r="AK72" s="315" t="s">
        <v>1595</v>
      </c>
      <c r="AL72" s="315">
        <v>0</v>
      </c>
      <c r="AM72" s="315">
        <v>0</v>
      </c>
      <c r="AN72" s="42">
        <f t="shared" si="1"/>
        <v>2</v>
      </c>
      <c r="AO72" s="318">
        <v>0</v>
      </c>
      <c r="AP72" s="318">
        <v>0</v>
      </c>
      <c r="AQ72" s="318">
        <v>2</v>
      </c>
      <c r="AR72" s="318">
        <v>0</v>
      </c>
      <c r="AS72" s="318">
        <v>0</v>
      </c>
      <c r="AT72" s="318">
        <v>2</v>
      </c>
      <c r="AU72" s="42">
        <f t="shared" si="2"/>
        <v>0</v>
      </c>
      <c r="AV72" s="318">
        <v>0</v>
      </c>
      <c r="AW72" s="318">
        <v>100</v>
      </c>
      <c r="AX72" s="315"/>
      <c r="AY72" s="636"/>
      <c r="AZ72" s="319"/>
      <c r="BA72" s="319"/>
      <c r="BB72" s="318">
        <v>1</v>
      </c>
      <c r="BC72" s="9"/>
      <c r="BD72" s="9"/>
      <c r="BE72" s="50">
        <f t="shared" si="3"/>
        <v>0</v>
      </c>
      <c r="BF72" s="50">
        <f t="shared" si="4"/>
        <v>0</v>
      </c>
      <c r="BG72" s="50">
        <f t="shared" si="5"/>
        <v>0.1333333334187046</v>
      </c>
      <c r="BH72" s="50">
        <f t="shared" si="6"/>
        <v>2</v>
      </c>
      <c r="BI72" s="50">
        <f t="shared" si="7"/>
        <v>0</v>
      </c>
      <c r="BJ72" s="50">
        <f t="shared" si="8"/>
        <v>0</v>
      </c>
      <c r="BK72" s="50">
        <f t="shared" si="9"/>
        <v>0</v>
      </c>
      <c r="BL72" s="50">
        <f t="shared" si="10"/>
        <v>0</v>
      </c>
      <c r="BM72" s="50">
        <f t="shared" si="11"/>
        <v>0.1333333334187046</v>
      </c>
      <c r="BN72" s="50">
        <f t="shared" si="12"/>
        <v>2</v>
      </c>
      <c r="BO72" s="50">
        <f t="shared" si="13"/>
        <v>0</v>
      </c>
      <c r="BP72" s="50">
        <f t="shared" si="14"/>
        <v>0</v>
      </c>
      <c r="BQ72" s="4" t="str">
        <f t="shared" si="15"/>
        <v>09,50 2025.03.21</v>
      </c>
      <c r="BR72" s="4" t="str">
        <f t="shared" si="16"/>
        <v>09,54 2025.03.21</v>
      </c>
      <c r="BS72" s="4" t="str">
        <f t="shared" si="17"/>
        <v>П</v>
      </c>
      <c r="BT72" s="10">
        <f t="shared" si="18"/>
        <v>6.6666666709352299E-2</v>
      </c>
      <c r="BU72" s="42">
        <f t="shared" si="19"/>
        <v>2</v>
      </c>
      <c r="BV72" s="11">
        <f t="shared" si="20"/>
        <v>0</v>
      </c>
      <c r="BW72" s="11">
        <f t="shared" si="21"/>
        <v>0</v>
      </c>
      <c r="BX72" s="11">
        <f t="shared" si="22"/>
        <v>2</v>
      </c>
      <c r="BY72" s="11">
        <f t="shared" si="23"/>
        <v>0</v>
      </c>
      <c r="BZ72" s="11">
        <f t="shared" si="24"/>
        <v>0</v>
      </c>
      <c r="CA72" s="11">
        <f t="shared" si="25"/>
        <v>2</v>
      </c>
      <c r="CB72" s="42">
        <f t="shared" si="26"/>
        <v>0</v>
      </c>
      <c r="CC72" s="11">
        <f t="shared" si="27"/>
        <v>0</v>
      </c>
      <c r="CD72" s="11">
        <f t="shared" si="28"/>
        <v>1</v>
      </c>
      <c r="CE72" s="4"/>
      <c r="CF72" s="50">
        <f t="shared" si="29"/>
        <v>0</v>
      </c>
      <c r="CG72" s="50">
        <f t="shared" si="30"/>
        <v>0</v>
      </c>
      <c r="CH72" s="50">
        <f t="shared" si="31"/>
        <v>0.1333333334187046</v>
      </c>
      <c r="CI72" s="50">
        <f t="shared" si="32"/>
        <v>2</v>
      </c>
      <c r="CJ72" s="50">
        <f t="shared" si="33"/>
        <v>0</v>
      </c>
      <c r="CK72" s="50">
        <f t="shared" si="34"/>
        <v>0</v>
      </c>
      <c r="CL72" s="50">
        <f t="shared" si="35"/>
        <v>0</v>
      </c>
      <c r="CM72" s="50">
        <f t="shared" si="36"/>
        <v>0</v>
      </c>
      <c r="CN72" s="50">
        <f t="shared" si="37"/>
        <v>0.1333333334187046</v>
      </c>
      <c r="CO72" s="50">
        <f t="shared" si="38"/>
        <v>2</v>
      </c>
      <c r="CP72" s="50">
        <f t="shared" si="39"/>
        <v>0</v>
      </c>
      <c r="CQ72" s="50">
        <f t="shared" si="40"/>
        <v>0</v>
      </c>
      <c r="CR72"/>
    </row>
    <row r="73" spans="2:96" s="362" customFormat="1" ht="15.75" customHeight="1" x14ac:dyDescent="0.15">
      <c r="B73" s="59"/>
      <c r="D73" s="130">
        <v>21</v>
      </c>
      <c r="AA73" s="28" t="s">
        <v>701</v>
      </c>
      <c r="AB73" s="31" t="s">
        <v>946</v>
      </c>
      <c r="AC73" s="247" t="s">
        <v>1440</v>
      </c>
      <c r="AD73" s="314" t="s">
        <v>110</v>
      </c>
      <c r="AE73" s="315" t="s">
        <v>1596</v>
      </c>
      <c r="AF73" s="316" t="s">
        <v>1432</v>
      </c>
      <c r="AG73" s="248" t="s">
        <v>1597</v>
      </c>
      <c r="AH73" s="248" t="s">
        <v>1598</v>
      </c>
      <c r="AI73" s="248" t="s">
        <v>100</v>
      </c>
      <c r="AJ73" s="317">
        <v>5.4499999999534303</v>
      </c>
      <c r="AK73" s="315" t="s">
        <v>1599</v>
      </c>
      <c r="AL73" s="315">
        <v>0</v>
      </c>
      <c r="AM73" s="315">
        <v>0</v>
      </c>
      <c r="AN73" s="42">
        <f t="shared" si="1"/>
        <v>1</v>
      </c>
      <c r="AO73" s="318">
        <v>0</v>
      </c>
      <c r="AP73" s="318">
        <v>0</v>
      </c>
      <c r="AQ73" s="318">
        <v>1</v>
      </c>
      <c r="AR73" s="318">
        <v>0</v>
      </c>
      <c r="AS73" s="318">
        <v>0</v>
      </c>
      <c r="AT73" s="318">
        <v>1</v>
      </c>
      <c r="AU73" s="42">
        <f t="shared" si="2"/>
        <v>0</v>
      </c>
      <c r="AV73" s="318">
        <v>0</v>
      </c>
      <c r="AW73" s="318">
        <v>540</v>
      </c>
      <c r="AX73" s="315"/>
      <c r="AY73" s="636"/>
      <c r="AZ73" s="319"/>
      <c r="BA73" s="319"/>
      <c r="BB73" s="318">
        <v>1</v>
      </c>
      <c r="BC73" s="9"/>
      <c r="BD73" s="9"/>
      <c r="BE73" s="50">
        <f t="shared" si="3"/>
        <v>0</v>
      </c>
      <c r="BF73" s="50">
        <f t="shared" si="4"/>
        <v>0</v>
      </c>
      <c r="BG73" s="50">
        <f t="shared" si="5"/>
        <v>5.4499999999534303</v>
      </c>
      <c r="BH73" s="50">
        <f t="shared" si="6"/>
        <v>1</v>
      </c>
      <c r="BI73" s="50">
        <f t="shared" si="7"/>
        <v>0</v>
      </c>
      <c r="BJ73" s="50">
        <f t="shared" si="8"/>
        <v>0</v>
      </c>
      <c r="BK73" s="50">
        <f t="shared" si="9"/>
        <v>0</v>
      </c>
      <c r="BL73" s="50">
        <f t="shared" si="10"/>
        <v>0</v>
      </c>
      <c r="BM73" s="50">
        <f t="shared" si="11"/>
        <v>5.4499999999534303</v>
      </c>
      <c r="BN73" s="50">
        <f t="shared" si="12"/>
        <v>1</v>
      </c>
      <c r="BO73" s="50">
        <f t="shared" si="13"/>
        <v>0</v>
      </c>
      <c r="BP73" s="50">
        <f t="shared" si="14"/>
        <v>0</v>
      </c>
      <c r="BQ73" s="4" t="str">
        <f t="shared" si="15"/>
        <v>10,24 2025.03.27</v>
      </c>
      <c r="BR73" s="4" t="str">
        <f t="shared" si="16"/>
        <v>15,51 2025.03.27</v>
      </c>
      <c r="BS73" s="4" t="str">
        <f t="shared" si="17"/>
        <v>П</v>
      </c>
      <c r="BT73" s="10">
        <f t="shared" si="18"/>
        <v>5.4499999999534303</v>
      </c>
      <c r="BU73" s="42">
        <f t="shared" si="19"/>
        <v>1</v>
      </c>
      <c r="BV73" s="11">
        <f t="shared" si="20"/>
        <v>0</v>
      </c>
      <c r="BW73" s="11">
        <f t="shared" si="21"/>
        <v>0</v>
      </c>
      <c r="BX73" s="11">
        <f t="shared" si="22"/>
        <v>1</v>
      </c>
      <c r="BY73" s="11">
        <f t="shared" si="23"/>
        <v>0</v>
      </c>
      <c r="BZ73" s="11">
        <f t="shared" si="24"/>
        <v>0</v>
      </c>
      <c r="CA73" s="11">
        <f t="shared" si="25"/>
        <v>1</v>
      </c>
      <c r="CB73" s="42">
        <f t="shared" si="26"/>
        <v>0</v>
      </c>
      <c r="CC73" s="11">
        <f t="shared" si="27"/>
        <v>0</v>
      </c>
      <c r="CD73" s="11">
        <f t="shared" si="28"/>
        <v>1</v>
      </c>
      <c r="CE73" s="4"/>
      <c r="CF73" s="50">
        <f t="shared" si="29"/>
        <v>0</v>
      </c>
      <c r="CG73" s="50">
        <f t="shared" si="30"/>
        <v>0</v>
      </c>
      <c r="CH73" s="50">
        <f t="shared" si="31"/>
        <v>5.4499999999534303</v>
      </c>
      <c r="CI73" s="50">
        <f t="shared" si="32"/>
        <v>1</v>
      </c>
      <c r="CJ73" s="50">
        <f t="shared" si="33"/>
        <v>0</v>
      </c>
      <c r="CK73" s="50">
        <f t="shared" si="34"/>
        <v>0</v>
      </c>
      <c r="CL73" s="50">
        <f t="shared" si="35"/>
        <v>0</v>
      </c>
      <c r="CM73" s="50">
        <f t="shared" si="36"/>
        <v>0</v>
      </c>
      <c r="CN73" s="50">
        <f t="shared" si="37"/>
        <v>5.4499999999534303</v>
      </c>
      <c r="CO73" s="50">
        <f t="shared" si="38"/>
        <v>1</v>
      </c>
      <c r="CP73" s="50">
        <f t="shared" si="39"/>
        <v>0</v>
      </c>
      <c r="CQ73" s="50">
        <f t="shared" si="40"/>
        <v>0</v>
      </c>
      <c r="CR73"/>
    </row>
    <row r="74" spans="2:96" s="363" customFormat="1" ht="15.75" customHeight="1" x14ac:dyDescent="0.15">
      <c r="B74" s="59"/>
      <c r="D74" s="130">
        <v>21</v>
      </c>
      <c r="AA74" s="28" t="s">
        <v>701</v>
      </c>
      <c r="AB74" s="31" t="s">
        <v>947</v>
      </c>
      <c r="AC74" s="247" t="s">
        <v>1445</v>
      </c>
      <c r="AD74" s="314" t="s">
        <v>110</v>
      </c>
      <c r="AE74" s="315" t="s">
        <v>1499</v>
      </c>
      <c r="AF74" s="316" t="s">
        <v>1432</v>
      </c>
      <c r="AG74" s="248" t="s">
        <v>1600</v>
      </c>
      <c r="AH74" s="248" t="s">
        <v>1601</v>
      </c>
      <c r="AI74" s="248" t="s">
        <v>100</v>
      </c>
      <c r="AJ74" s="317">
        <v>3.5666666665929401</v>
      </c>
      <c r="AK74" s="315" t="s">
        <v>1502</v>
      </c>
      <c r="AL74" s="315">
        <v>0</v>
      </c>
      <c r="AM74" s="315">
        <v>0</v>
      </c>
      <c r="AN74" s="42">
        <f t="shared" si="1"/>
        <v>1</v>
      </c>
      <c r="AO74" s="318">
        <v>0</v>
      </c>
      <c r="AP74" s="318">
        <v>0</v>
      </c>
      <c r="AQ74" s="318">
        <v>1</v>
      </c>
      <c r="AR74" s="318">
        <v>0</v>
      </c>
      <c r="AS74" s="318">
        <v>0</v>
      </c>
      <c r="AT74" s="318">
        <v>1</v>
      </c>
      <c r="AU74" s="42">
        <f t="shared" si="2"/>
        <v>0</v>
      </c>
      <c r="AV74" s="318">
        <v>0</v>
      </c>
      <c r="AW74" s="318">
        <v>900</v>
      </c>
      <c r="AX74" s="315"/>
      <c r="AY74" s="636"/>
      <c r="AZ74" s="319"/>
      <c r="BA74" s="319"/>
      <c r="BB74" s="318">
        <v>1</v>
      </c>
      <c r="BC74" s="9"/>
      <c r="BD74" s="9"/>
      <c r="BE74" s="50">
        <f t="shared" si="3"/>
        <v>0</v>
      </c>
      <c r="BF74" s="50">
        <f t="shared" si="4"/>
        <v>0</v>
      </c>
      <c r="BG74" s="50">
        <f t="shared" si="5"/>
        <v>3.5666666665929401</v>
      </c>
      <c r="BH74" s="50">
        <f t="shared" si="6"/>
        <v>1</v>
      </c>
      <c r="BI74" s="50">
        <f t="shared" si="7"/>
        <v>0</v>
      </c>
      <c r="BJ74" s="50">
        <f t="shared" si="8"/>
        <v>0</v>
      </c>
      <c r="BK74" s="50">
        <f t="shared" si="9"/>
        <v>0</v>
      </c>
      <c r="BL74" s="50">
        <f t="shared" si="10"/>
        <v>0</v>
      </c>
      <c r="BM74" s="50">
        <f t="shared" si="11"/>
        <v>3.5666666665929401</v>
      </c>
      <c r="BN74" s="50">
        <f t="shared" si="12"/>
        <v>1</v>
      </c>
      <c r="BO74" s="50">
        <f t="shared" si="13"/>
        <v>0</v>
      </c>
      <c r="BP74" s="50">
        <f t="shared" si="14"/>
        <v>0</v>
      </c>
      <c r="BQ74" s="4" t="str">
        <f t="shared" si="15"/>
        <v>10,30 2025.03.27</v>
      </c>
      <c r="BR74" s="4" t="str">
        <f t="shared" si="16"/>
        <v>14,04 2025.03.27</v>
      </c>
      <c r="BS74" s="4" t="str">
        <f t="shared" si="17"/>
        <v>П</v>
      </c>
      <c r="BT74" s="10">
        <f t="shared" si="18"/>
        <v>3.5666666665929401</v>
      </c>
      <c r="BU74" s="42">
        <f t="shared" si="19"/>
        <v>1</v>
      </c>
      <c r="BV74" s="11">
        <f t="shared" si="20"/>
        <v>0</v>
      </c>
      <c r="BW74" s="11">
        <f t="shared" si="21"/>
        <v>0</v>
      </c>
      <c r="BX74" s="11">
        <f t="shared" si="22"/>
        <v>1</v>
      </c>
      <c r="BY74" s="11">
        <f t="shared" si="23"/>
        <v>0</v>
      </c>
      <c r="BZ74" s="11">
        <f t="shared" si="24"/>
        <v>0</v>
      </c>
      <c r="CA74" s="11">
        <f t="shared" si="25"/>
        <v>1</v>
      </c>
      <c r="CB74" s="42">
        <f t="shared" si="26"/>
        <v>0</v>
      </c>
      <c r="CC74" s="11">
        <f t="shared" si="27"/>
        <v>0</v>
      </c>
      <c r="CD74" s="11">
        <f t="shared" si="28"/>
        <v>1</v>
      </c>
      <c r="CE74" s="4"/>
      <c r="CF74" s="50">
        <f t="shared" si="29"/>
        <v>0</v>
      </c>
      <c r="CG74" s="50">
        <f t="shared" si="30"/>
        <v>0</v>
      </c>
      <c r="CH74" s="50">
        <f t="shared" si="31"/>
        <v>3.5666666665929401</v>
      </c>
      <c r="CI74" s="50">
        <f t="shared" si="32"/>
        <v>1</v>
      </c>
      <c r="CJ74" s="50">
        <f t="shared" si="33"/>
        <v>0</v>
      </c>
      <c r="CK74" s="50">
        <f t="shared" si="34"/>
        <v>0</v>
      </c>
      <c r="CL74" s="50">
        <f t="shared" si="35"/>
        <v>0</v>
      </c>
      <c r="CM74" s="50">
        <f t="shared" si="36"/>
        <v>0</v>
      </c>
      <c r="CN74" s="50">
        <f t="shared" si="37"/>
        <v>3.5666666665929401</v>
      </c>
      <c r="CO74" s="50">
        <f t="shared" si="38"/>
        <v>1</v>
      </c>
      <c r="CP74" s="50">
        <f t="shared" si="39"/>
        <v>0</v>
      </c>
      <c r="CQ74" s="50">
        <f t="shared" si="40"/>
        <v>0</v>
      </c>
      <c r="CR74"/>
    </row>
    <row r="75" spans="2:96" s="364" customFormat="1" ht="15.75" customHeight="1" x14ac:dyDescent="0.15">
      <c r="B75" s="59"/>
      <c r="D75" s="130">
        <v>21</v>
      </c>
      <c r="AA75" s="28" t="s">
        <v>701</v>
      </c>
      <c r="AB75" s="31" t="s">
        <v>948</v>
      </c>
      <c r="AC75" s="247" t="s">
        <v>1440</v>
      </c>
      <c r="AD75" s="314" t="s">
        <v>110</v>
      </c>
      <c r="AE75" s="315" t="s">
        <v>1602</v>
      </c>
      <c r="AF75" s="316" t="s">
        <v>1432</v>
      </c>
      <c r="AG75" s="248" t="s">
        <v>1603</v>
      </c>
      <c r="AH75" s="248" t="s">
        <v>1604</v>
      </c>
      <c r="AI75" s="248" t="s">
        <v>100</v>
      </c>
      <c r="AJ75" s="317">
        <v>6.2666666666627897</v>
      </c>
      <c r="AK75" s="315" t="s">
        <v>1605</v>
      </c>
      <c r="AL75" s="315">
        <v>0</v>
      </c>
      <c r="AM75" s="315">
        <v>0</v>
      </c>
      <c r="AN75" s="42">
        <f t="shared" si="1"/>
        <v>1</v>
      </c>
      <c r="AO75" s="318">
        <v>0</v>
      </c>
      <c r="AP75" s="318">
        <v>0</v>
      </c>
      <c r="AQ75" s="318">
        <v>1</v>
      </c>
      <c r="AR75" s="318">
        <v>0</v>
      </c>
      <c r="AS75" s="318">
        <v>0</v>
      </c>
      <c r="AT75" s="318">
        <v>1</v>
      </c>
      <c r="AU75" s="42">
        <f t="shared" si="2"/>
        <v>0</v>
      </c>
      <c r="AV75" s="318">
        <v>0</v>
      </c>
      <c r="AW75" s="318">
        <v>760</v>
      </c>
      <c r="AX75" s="315"/>
      <c r="AY75" s="636"/>
      <c r="AZ75" s="319"/>
      <c r="BA75" s="319"/>
      <c r="BB75" s="318">
        <v>1</v>
      </c>
      <c r="BC75" s="9"/>
      <c r="BD75" s="9"/>
      <c r="BE75" s="50">
        <f t="shared" si="3"/>
        <v>0</v>
      </c>
      <c r="BF75" s="50">
        <f t="shared" si="4"/>
        <v>0</v>
      </c>
      <c r="BG75" s="50">
        <f t="shared" si="5"/>
        <v>6.2666666666627897</v>
      </c>
      <c r="BH75" s="50">
        <f t="shared" si="6"/>
        <v>1</v>
      </c>
      <c r="BI75" s="50">
        <f t="shared" si="7"/>
        <v>0</v>
      </c>
      <c r="BJ75" s="50">
        <f t="shared" si="8"/>
        <v>0</v>
      </c>
      <c r="BK75" s="50">
        <f t="shared" si="9"/>
        <v>0</v>
      </c>
      <c r="BL75" s="50">
        <f t="shared" si="10"/>
        <v>0</v>
      </c>
      <c r="BM75" s="50">
        <f t="shared" si="11"/>
        <v>6.2666666666627897</v>
      </c>
      <c r="BN75" s="50">
        <f t="shared" si="12"/>
        <v>1</v>
      </c>
      <c r="BO75" s="50">
        <f t="shared" si="13"/>
        <v>0</v>
      </c>
      <c r="BP75" s="50">
        <f t="shared" si="14"/>
        <v>0</v>
      </c>
      <c r="BQ75" s="4" t="str">
        <f t="shared" si="15"/>
        <v>10,26 2025.03.28</v>
      </c>
      <c r="BR75" s="4" t="str">
        <f t="shared" si="16"/>
        <v>16,42 2025.03.28</v>
      </c>
      <c r="BS75" s="4" t="str">
        <f t="shared" si="17"/>
        <v>П</v>
      </c>
      <c r="BT75" s="10">
        <f t="shared" si="18"/>
        <v>6.2666666666627897</v>
      </c>
      <c r="BU75" s="42">
        <f t="shared" si="19"/>
        <v>1</v>
      </c>
      <c r="BV75" s="11">
        <f t="shared" si="20"/>
        <v>0</v>
      </c>
      <c r="BW75" s="11">
        <f t="shared" si="21"/>
        <v>0</v>
      </c>
      <c r="BX75" s="11">
        <f t="shared" si="22"/>
        <v>1</v>
      </c>
      <c r="BY75" s="11">
        <f t="shared" si="23"/>
        <v>0</v>
      </c>
      <c r="BZ75" s="11">
        <f t="shared" si="24"/>
        <v>0</v>
      </c>
      <c r="CA75" s="11">
        <f t="shared" si="25"/>
        <v>1</v>
      </c>
      <c r="CB75" s="42">
        <f t="shared" si="26"/>
        <v>0</v>
      </c>
      <c r="CC75" s="11">
        <f t="shared" si="27"/>
        <v>0</v>
      </c>
      <c r="CD75" s="11">
        <f t="shared" si="28"/>
        <v>1</v>
      </c>
      <c r="CE75" s="4"/>
      <c r="CF75" s="50">
        <f t="shared" si="29"/>
        <v>0</v>
      </c>
      <c r="CG75" s="50">
        <f t="shared" si="30"/>
        <v>0</v>
      </c>
      <c r="CH75" s="50">
        <f t="shared" si="31"/>
        <v>6.2666666666627897</v>
      </c>
      <c r="CI75" s="50">
        <f t="shared" si="32"/>
        <v>1</v>
      </c>
      <c r="CJ75" s="50">
        <f t="shared" si="33"/>
        <v>0</v>
      </c>
      <c r="CK75" s="50">
        <f t="shared" si="34"/>
        <v>0</v>
      </c>
      <c r="CL75" s="50">
        <f t="shared" si="35"/>
        <v>0</v>
      </c>
      <c r="CM75" s="50">
        <f t="shared" si="36"/>
        <v>0</v>
      </c>
      <c r="CN75" s="50">
        <f t="shared" si="37"/>
        <v>6.2666666666627897</v>
      </c>
      <c r="CO75" s="50">
        <f t="shared" si="38"/>
        <v>1</v>
      </c>
      <c r="CP75" s="50">
        <f t="shared" si="39"/>
        <v>0</v>
      </c>
      <c r="CQ75" s="50">
        <f t="shared" si="40"/>
        <v>0</v>
      </c>
      <c r="CR75"/>
    </row>
    <row r="76" spans="2:96" s="365" customFormat="1" ht="15.75" customHeight="1" x14ac:dyDescent="0.15">
      <c r="B76" s="59"/>
      <c r="D76" s="130">
        <v>21</v>
      </c>
      <c r="AA76" s="28" t="s">
        <v>701</v>
      </c>
      <c r="AB76" s="31" t="s">
        <v>949</v>
      </c>
      <c r="AC76" s="247" t="s">
        <v>1469</v>
      </c>
      <c r="AD76" s="314" t="s">
        <v>121</v>
      </c>
      <c r="AE76" s="315" t="s">
        <v>1606</v>
      </c>
      <c r="AF76" s="316" t="s">
        <v>1495</v>
      </c>
      <c r="AG76" s="248" t="s">
        <v>1607</v>
      </c>
      <c r="AH76" s="248" t="s">
        <v>1607</v>
      </c>
      <c r="AI76" s="248" t="s">
        <v>122</v>
      </c>
      <c r="AJ76" s="317">
        <v>0</v>
      </c>
      <c r="AK76" s="315" t="s">
        <v>1608</v>
      </c>
      <c r="AL76" s="315">
        <v>0</v>
      </c>
      <c r="AM76" s="315">
        <v>0</v>
      </c>
      <c r="AN76" s="42">
        <f t="shared" si="1"/>
        <v>1</v>
      </c>
      <c r="AO76" s="318">
        <v>0</v>
      </c>
      <c r="AP76" s="318">
        <v>0</v>
      </c>
      <c r="AQ76" s="318">
        <v>1</v>
      </c>
      <c r="AR76" s="318">
        <v>0</v>
      </c>
      <c r="AS76" s="318">
        <v>0</v>
      </c>
      <c r="AT76" s="318">
        <v>1</v>
      </c>
      <c r="AU76" s="42">
        <f t="shared" si="2"/>
        <v>0</v>
      </c>
      <c r="AV76" s="318">
        <v>0</v>
      </c>
      <c r="AW76" s="318">
        <v>3876</v>
      </c>
      <c r="AX76" s="315"/>
      <c r="AY76" s="636" t="s">
        <v>2052</v>
      </c>
      <c r="AZ76" s="319" t="s">
        <v>205</v>
      </c>
      <c r="BA76" s="319" t="s">
        <v>2053</v>
      </c>
      <c r="BB76" s="318">
        <v>0</v>
      </c>
      <c r="BC76" s="9"/>
      <c r="BD76" s="9"/>
      <c r="BE76" s="50">
        <f t="shared" si="3"/>
        <v>0</v>
      </c>
      <c r="BF76" s="50">
        <f t="shared" si="4"/>
        <v>0</v>
      </c>
      <c r="BG76" s="50">
        <f t="shared" si="5"/>
        <v>0</v>
      </c>
      <c r="BH76" s="50">
        <f t="shared" si="6"/>
        <v>0</v>
      </c>
      <c r="BI76" s="50">
        <f t="shared" si="7"/>
        <v>0</v>
      </c>
      <c r="BJ76" s="50">
        <f t="shared" si="8"/>
        <v>0</v>
      </c>
      <c r="BK76" s="50">
        <f t="shared" si="9"/>
        <v>0</v>
      </c>
      <c r="BL76" s="50">
        <f t="shared" si="10"/>
        <v>0</v>
      </c>
      <c r="BM76" s="50">
        <f t="shared" si="11"/>
        <v>0</v>
      </c>
      <c r="BN76" s="50">
        <f t="shared" si="12"/>
        <v>0</v>
      </c>
      <c r="BO76" s="50">
        <f t="shared" si="13"/>
        <v>0</v>
      </c>
      <c r="BP76" s="50">
        <f t="shared" si="14"/>
        <v>0</v>
      </c>
      <c r="BQ76" s="4" t="str">
        <f t="shared" si="15"/>
        <v>15,49 2025.03.29</v>
      </c>
      <c r="BR76" s="4" t="str">
        <f t="shared" si="16"/>
        <v>15,49 2025.03.29</v>
      </c>
      <c r="BS76" s="4" t="str">
        <f t="shared" si="17"/>
        <v>В</v>
      </c>
      <c r="BT76" s="10">
        <f t="shared" si="18"/>
        <v>0</v>
      </c>
      <c r="BU76" s="42">
        <f t="shared" si="19"/>
        <v>1</v>
      </c>
      <c r="BV76" s="11">
        <f t="shared" si="20"/>
        <v>0</v>
      </c>
      <c r="BW76" s="11">
        <f t="shared" si="21"/>
        <v>0</v>
      </c>
      <c r="BX76" s="11">
        <f t="shared" si="22"/>
        <v>1</v>
      </c>
      <c r="BY76" s="11">
        <f t="shared" si="23"/>
        <v>0</v>
      </c>
      <c r="BZ76" s="11">
        <f t="shared" si="24"/>
        <v>0</v>
      </c>
      <c r="CA76" s="11">
        <f t="shared" si="25"/>
        <v>1</v>
      </c>
      <c r="CB76" s="42">
        <f t="shared" si="26"/>
        <v>0</v>
      </c>
      <c r="CC76" s="11">
        <f t="shared" si="27"/>
        <v>0</v>
      </c>
      <c r="CD76" s="11">
        <f t="shared" si="28"/>
        <v>0</v>
      </c>
      <c r="CE76" s="4"/>
      <c r="CF76" s="50">
        <f t="shared" si="29"/>
        <v>0</v>
      </c>
      <c r="CG76" s="50">
        <f t="shared" si="30"/>
        <v>0</v>
      </c>
      <c r="CH76" s="50">
        <f t="shared" si="31"/>
        <v>0</v>
      </c>
      <c r="CI76" s="50">
        <f t="shared" si="32"/>
        <v>0</v>
      </c>
      <c r="CJ76" s="50">
        <f t="shared" si="33"/>
        <v>0</v>
      </c>
      <c r="CK76" s="50">
        <f t="shared" si="34"/>
        <v>0</v>
      </c>
      <c r="CL76" s="50">
        <f t="shared" si="35"/>
        <v>0</v>
      </c>
      <c r="CM76" s="50">
        <f t="shared" si="36"/>
        <v>0</v>
      </c>
      <c r="CN76" s="50">
        <f t="shared" si="37"/>
        <v>0</v>
      </c>
      <c r="CO76" s="50">
        <f t="shared" si="38"/>
        <v>0</v>
      </c>
      <c r="CP76" s="50">
        <f t="shared" si="39"/>
        <v>0</v>
      </c>
      <c r="CQ76" s="50">
        <f t="shared" si="40"/>
        <v>0</v>
      </c>
      <c r="CR76"/>
    </row>
    <row r="77" spans="2:96" s="366" customFormat="1" ht="15.75" customHeight="1" x14ac:dyDescent="0.15">
      <c r="B77" s="59"/>
      <c r="D77" s="130">
        <v>21</v>
      </c>
      <c r="AA77" s="28" t="s">
        <v>701</v>
      </c>
      <c r="AB77" s="31" t="s">
        <v>950</v>
      </c>
      <c r="AC77" s="247" t="s">
        <v>1440</v>
      </c>
      <c r="AD77" s="314" t="s">
        <v>110</v>
      </c>
      <c r="AE77" s="315" t="s">
        <v>1609</v>
      </c>
      <c r="AF77" s="316" t="s">
        <v>1432</v>
      </c>
      <c r="AG77" s="248" t="s">
        <v>1610</v>
      </c>
      <c r="AH77" s="248" t="s">
        <v>1611</v>
      </c>
      <c r="AI77" s="248" t="s">
        <v>100</v>
      </c>
      <c r="AJ77" s="317">
        <v>3.75</v>
      </c>
      <c r="AK77" s="315" t="s">
        <v>1612</v>
      </c>
      <c r="AL77" s="315">
        <v>0</v>
      </c>
      <c r="AM77" s="315">
        <v>0</v>
      </c>
      <c r="AN77" s="42">
        <f t="shared" si="1"/>
        <v>1</v>
      </c>
      <c r="AO77" s="318">
        <v>0</v>
      </c>
      <c r="AP77" s="318">
        <v>0</v>
      </c>
      <c r="AQ77" s="318">
        <v>1</v>
      </c>
      <c r="AR77" s="318">
        <v>0</v>
      </c>
      <c r="AS77" s="318">
        <v>0</v>
      </c>
      <c r="AT77" s="318">
        <v>1</v>
      </c>
      <c r="AU77" s="42">
        <f t="shared" si="2"/>
        <v>0</v>
      </c>
      <c r="AV77" s="318">
        <v>0</v>
      </c>
      <c r="AW77" s="318">
        <v>390</v>
      </c>
      <c r="AX77" s="315"/>
      <c r="AY77" s="636"/>
      <c r="AZ77" s="319"/>
      <c r="BA77" s="319"/>
      <c r="BB77" s="318">
        <v>1</v>
      </c>
      <c r="BC77" s="9"/>
      <c r="BD77" s="9"/>
      <c r="BE77" s="50">
        <f t="shared" si="3"/>
        <v>0</v>
      </c>
      <c r="BF77" s="50">
        <f t="shared" si="4"/>
        <v>0</v>
      </c>
      <c r="BG77" s="50">
        <f t="shared" si="5"/>
        <v>3.75</v>
      </c>
      <c r="BH77" s="50">
        <f t="shared" si="6"/>
        <v>1</v>
      </c>
      <c r="BI77" s="50">
        <f t="shared" si="7"/>
        <v>0</v>
      </c>
      <c r="BJ77" s="50">
        <f t="shared" si="8"/>
        <v>0</v>
      </c>
      <c r="BK77" s="50">
        <f t="shared" si="9"/>
        <v>0</v>
      </c>
      <c r="BL77" s="50">
        <f t="shared" si="10"/>
        <v>0</v>
      </c>
      <c r="BM77" s="50">
        <f t="shared" si="11"/>
        <v>3.75</v>
      </c>
      <c r="BN77" s="50">
        <f t="shared" si="12"/>
        <v>1</v>
      </c>
      <c r="BO77" s="50">
        <f t="shared" si="13"/>
        <v>0</v>
      </c>
      <c r="BP77" s="50">
        <f t="shared" si="14"/>
        <v>0</v>
      </c>
      <c r="BQ77" s="4" t="str">
        <f t="shared" si="15"/>
        <v>11,11 2025.04.03</v>
      </c>
      <c r="BR77" s="4" t="str">
        <f t="shared" si="16"/>
        <v>14,56 2025.04.03</v>
      </c>
      <c r="BS77" s="4" t="str">
        <f t="shared" si="17"/>
        <v>П</v>
      </c>
      <c r="BT77" s="10">
        <f t="shared" si="18"/>
        <v>3.75</v>
      </c>
      <c r="BU77" s="42">
        <f t="shared" si="19"/>
        <v>1</v>
      </c>
      <c r="BV77" s="11">
        <f t="shared" si="20"/>
        <v>0</v>
      </c>
      <c r="BW77" s="11">
        <f t="shared" si="21"/>
        <v>0</v>
      </c>
      <c r="BX77" s="11">
        <f t="shared" si="22"/>
        <v>1</v>
      </c>
      <c r="BY77" s="11">
        <f t="shared" si="23"/>
        <v>0</v>
      </c>
      <c r="BZ77" s="11">
        <f t="shared" si="24"/>
        <v>0</v>
      </c>
      <c r="CA77" s="11">
        <f t="shared" si="25"/>
        <v>1</v>
      </c>
      <c r="CB77" s="42">
        <f t="shared" si="26"/>
        <v>0</v>
      </c>
      <c r="CC77" s="11">
        <f t="shared" si="27"/>
        <v>0</v>
      </c>
      <c r="CD77" s="11">
        <f t="shared" si="28"/>
        <v>1</v>
      </c>
      <c r="CE77" s="4"/>
      <c r="CF77" s="50">
        <f t="shared" si="29"/>
        <v>0</v>
      </c>
      <c r="CG77" s="50">
        <f t="shared" si="30"/>
        <v>0</v>
      </c>
      <c r="CH77" s="50">
        <f t="shared" si="31"/>
        <v>3.75</v>
      </c>
      <c r="CI77" s="50">
        <f t="shared" si="32"/>
        <v>1</v>
      </c>
      <c r="CJ77" s="50">
        <f t="shared" si="33"/>
        <v>0</v>
      </c>
      <c r="CK77" s="50">
        <f t="shared" si="34"/>
        <v>0</v>
      </c>
      <c r="CL77" s="50">
        <f t="shared" si="35"/>
        <v>0</v>
      </c>
      <c r="CM77" s="50">
        <f t="shared" si="36"/>
        <v>0</v>
      </c>
      <c r="CN77" s="50">
        <f t="shared" si="37"/>
        <v>3.75</v>
      </c>
      <c r="CO77" s="50">
        <f t="shared" si="38"/>
        <v>1</v>
      </c>
      <c r="CP77" s="50">
        <f t="shared" si="39"/>
        <v>0</v>
      </c>
      <c r="CQ77" s="50">
        <f t="shared" si="40"/>
        <v>0</v>
      </c>
      <c r="CR77"/>
    </row>
    <row r="78" spans="2:96" s="367" customFormat="1" ht="15.75" customHeight="1" x14ac:dyDescent="0.15">
      <c r="B78" s="59"/>
      <c r="D78" s="130">
        <v>21</v>
      </c>
      <c r="AA78" s="28" t="s">
        <v>701</v>
      </c>
      <c r="AB78" s="31" t="s">
        <v>951</v>
      </c>
      <c r="AC78" s="247" t="s">
        <v>1445</v>
      </c>
      <c r="AD78" s="314" t="s">
        <v>110</v>
      </c>
      <c r="AE78" s="315" t="s">
        <v>1613</v>
      </c>
      <c r="AF78" s="316" t="s">
        <v>1432</v>
      </c>
      <c r="AG78" s="248" t="s">
        <v>1614</v>
      </c>
      <c r="AH78" s="248" t="s">
        <v>1615</v>
      </c>
      <c r="AI78" s="248" t="s">
        <v>100</v>
      </c>
      <c r="AJ78" s="317">
        <v>5.9166666667442804</v>
      </c>
      <c r="AK78" s="315" t="s">
        <v>1616</v>
      </c>
      <c r="AL78" s="315">
        <v>0</v>
      </c>
      <c r="AM78" s="315">
        <v>0</v>
      </c>
      <c r="AN78" s="42">
        <f t="shared" si="1"/>
        <v>1</v>
      </c>
      <c r="AO78" s="318">
        <v>0</v>
      </c>
      <c r="AP78" s="318">
        <v>0</v>
      </c>
      <c r="AQ78" s="318">
        <v>1</v>
      </c>
      <c r="AR78" s="318">
        <v>0</v>
      </c>
      <c r="AS78" s="318">
        <v>0</v>
      </c>
      <c r="AT78" s="318">
        <v>1</v>
      </c>
      <c r="AU78" s="42">
        <f t="shared" si="2"/>
        <v>0</v>
      </c>
      <c r="AV78" s="318">
        <v>0</v>
      </c>
      <c r="AW78" s="318">
        <v>260</v>
      </c>
      <c r="AX78" s="315"/>
      <c r="AY78" s="636"/>
      <c r="AZ78" s="319"/>
      <c r="BA78" s="319"/>
      <c r="BB78" s="318">
        <v>1</v>
      </c>
      <c r="BC78" s="9"/>
      <c r="BD78" s="9"/>
      <c r="BE78" s="50">
        <f t="shared" si="3"/>
        <v>0</v>
      </c>
      <c r="BF78" s="50">
        <f t="shared" si="4"/>
        <v>0</v>
      </c>
      <c r="BG78" s="50">
        <f t="shared" si="5"/>
        <v>5.9166666667442804</v>
      </c>
      <c r="BH78" s="50">
        <f t="shared" si="6"/>
        <v>1</v>
      </c>
      <c r="BI78" s="50">
        <f t="shared" si="7"/>
        <v>0</v>
      </c>
      <c r="BJ78" s="50">
        <f t="shared" si="8"/>
        <v>0</v>
      </c>
      <c r="BK78" s="50">
        <f t="shared" si="9"/>
        <v>0</v>
      </c>
      <c r="BL78" s="50">
        <f t="shared" si="10"/>
        <v>0</v>
      </c>
      <c r="BM78" s="50">
        <f t="shared" si="11"/>
        <v>5.9166666667442804</v>
      </c>
      <c r="BN78" s="50">
        <f t="shared" si="12"/>
        <v>1</v>
      </c>
      <c r="BO78" s="50">
        <f t="shared" si="13"/>
        <v>0</v>
      </c>
      <c r="BP78" s="50">
        <f t="shared" si="14"/>
        <v>0</v>
      </c>
      <c r="BQ78" s="4" t="str">
        <f t="shared" si="15"/>
        <v>11,20 2025.04.03</v>
      </c>
      <c r="BR78" s="4" t="str">
        <f t="shared" si="16"/>
        <v>17,15 2025.04.03</v>
      </c>
      <c r="BS78" s="4" t="str">
        <f t="shared" si="17"/>
        <v>П</v>
      </c>
      <c r="BT78" s="10">
        <f t="shared" si="18"/>
        <v>5.9166666667442804</v>
      </c>
      <c r="BU78" s="42">
        <f t="shared" si="19"/>
        <v>1</v>
      </c>
      <c r="BV78" s="11">
        <f t="shared" si="20"/>
        <v>0</v>
      </c>
      <c r="BW78" s="11">
        <f t="shared" si="21"/>
        <v>0</v>
      </c>
      <c r="BX78" s="11">
        <f t="shared" si="22"/>
        <v>1</v>
      </c>
      <c r="BY78" s="11">
        <f t="shared" si="23"/>
        <v>0</v>
      </c>
      <c r="BZ78" s="11">
        <f t="shared" si="24"/>
        <v>0</v>
      </c>
      <c r="CA78" s="11">
        <f t="shared" si="25"/>
        <v>1</v>
      </c>
      <c r="CB78" s="42">
        <f t="shared" si="26"/>
        <v>0</v>
      </c>
      <c r="CC78" s="11">
        <f t="shared" si="27"/>
        <v>0</v>
      </c>
      <c r="CD78" s="11">
        <f t="shared" si="28"/>
        <v>1</v>
      </c>
      <c r="CE78" s="4"/>
      <c r="CF78" s="50">
        <f t="shared" si="29"/>
        <v>0</v>
      </c>
      <c r="CG78" s="50">
        <f t="shared" si="30"/>
        <v>0</v>
      </c>
      <c r="CH78" s="50">
        <f t="shared" si="31"/>
        <v>5.9166666667442804</v>
      </c>
      <c r="CI78" s="50">
        <f t="shared" si="32"/>
        <v>1</v>
      </c>
      <c r="CJ78" s="50">
        <f t="shared" si="33"/>
        <v>0</v>
      </c>
      <c r="CK78" s="50">
        <f t="shared" si="34"/>
        <v>0</v>
      </c>
      <c r="CL78" s="50">
        <f t="shared" si="35"/>
        <v>0</v>
      </c>
      <c r="CM78" s="50">
        <f t="shared" si="36"/>
        <v>0</v>
      </c>
      <c r="CN78" s="50">
        <f t="shared" si="37"/>
        <v>5.9166666667442804</v>
      </c>
      <c r="CO78" s="50">
        <f t="shared" si="38"/>
        <v>1</v>
      </c>
      <c r="CP78" s="50">
        <f t="shared" si="39"/>
        <v>0</v>
      </c>
      <c r="CQ78" s="50">
        <f t="shared" si="40"/>
        <v>0</v>
      </c>
      <c r="CR78"/>
    </row>
    <row r="79" spans="2:96" s="368" customFormat="1" ht="15.75" customHeight="1" x14ac:dyDescent="0.15">
      <c r="B79" s="59"/>
      <c r="D79" s="130">
        <v>21</v>
      </c>
      <c r="AA79" s="28" t="s">
        <v>701</v>
      </c>
      <c r="AB79" s="31" t="s">
        <v>952</v>
      </c>
      <c r="AC79" s="247" t="s">
        <v>1440</v>
      </c>
      <c r="AD79" s="314" t="s">
        <v>110</v>
      </c>
      <c r="AE79" s="315" t="s">
        <v>1617</v>
      </c>
      <c r="AF79" s="316" t="s">
        <v>1432</v>
      </c>
      <c r="AG79" s="248" t="s">
        <v>1618</v>
      </c>
      <c r="AH79" s="248" t="s">
        <v>1619</v>
      </c>
      <c r="AI79" s="248" t="s">
        <v>100</v>
      </c>
      <c r="AJ79" s="317">
        <v>4.1833333333488598</v>
      </c>
      <c r="AK79" s="315" t="s">
        <v>1620</v>
      </c>
      <c r="AL79" s="315">
        <v>0</v>
      </c>
      <c r="AM79" s="315">
        <v>0</v>
      </c>
      <c r="AN79" s="42">
        <f t="shared" si="1"/>
        <v>1</v>
      </c>
      <c r="AO79" s="318">
        <v>0</v>
      </c>
      <c r="AP79" s="318">
        <v>0</v>
      </c>
      <c r="AQ79" s="318">
        <v>1</v>
      </c>
      <c r="AR79" s="318">
        <v>0</v>
      </c>
      <c r="AS79" s="318">
        <v>0</v>
      </c>
      <c r="AT79" s="318">
        <v>1</v>
      </c>
      <c r="AU79" s="42">
        <f t="shared" si="2"/>
        <v>0</v>
      </c>
      <c r="AV79" s="318">
        <v>0</v>
      </c>
      <c r="AW79" s="318">
        <v>250</v>
      </c>
      <c r="AX79" s="315"/>
      <c r="AY79" s="636"/>
      <c r="AZ79" s="319"/>
      <c r="BA79" s="319"/>
      <c r="BB79" s="318">
        <v>1</v>
      </c>
      <c r="BC79" s="9"/>
      <c r="BD79" s="9"/>
      <c r="BE79" s="50">
        <f t="shared" si="3"/>
        <v>0</v>
      </c>
      <c r="BF79" s="50">
        <f t="shared" si="4"/>
        <v>0</v>
      </c>
      <c r="BG79" s="50">
        <f t="shared" si="5"/>
        <v>4.1833333333488598</v>
      </c>
      <c r="BH79" s="50">
        <f t="shared" si="6"/>
        <v>1</v>
      </c>
      <c r="BI79" s="50">
        <f t="shared" si="7"/>
        <v>0</v>
      </c>
      <c r="BJ79" s="50">
        <f t="shared" si="8"/>
        <v>0</v>
      </c>
      <c r="BK79" s="50">
        <f t="shared" si="9"/>
        <v>0</v>
      </c>
      <c r="BL79" s="50">
        <f t="shared" si="10"/>
        <v>0</v>
      </c>
      <c r="BM79" s="50">
        <f t="shared" si="11"/>
        <v>4.1833333333488598</v>
      </c>
      <c r="BN79" s="50">
        <f t="shared" si="12"/>
        <v>1</v>
      </c>
      <c r="BO79" s="50">
        <f t="shared" si="13"/>
        <v>0</v>
      </c>
      <c r="BP79" s="50">
        <f t="shared" si="14"/>
        <v>0</v>
      </c>
      <c r="BQ79" s="4" t="str">
        <f t="shared" si="15"/>
        <v>10,00 2025.04.04</v>
      </c>
      <c r="BR79" s="4" t="str">
        <f t="shared" si="16"/>
        <v>14,11 2025.04.04</v>
      </c>
      <c r="BS79" s="4" t="str">
        <f t="shared" si="17"/>
        <v>П</v>
      </c>
      <c r="BT79" s="10">
        <f t="shared" si="18"/>
        <v>4.1833333333488598</v>
      </c>
      <c r="BU79" s="42">
        <f t="shared" si="19"/>
        <v>1</v>
      </c>
      <c r="BV79" s="11">
        <f t="shared" si="20"/>
        <v>0</v>
      </c>
      <c r="BW79" s="11">
        <f t="shared" si="21"/>
        <v>0</v>
      </c>
      <c r="BX79" s="11">
        <f t="shared" si="22"/>
        <v>1</v>
      </c>
      <c r="BY79" s="11">
        <f t="shared" si="23"/>
        <v>0</v>
      </c>
      <c r="BZ79" s="11">
        <f t="shared" si="24"/>
        <v>0</v>
      </c>
      <c r="CA79" s="11">
        <f t="shared" si="25"/>
        <v>1</v>
      </c>
      <c r="CB79" s="42">
        <f t="shared" si="26"/>
        <v>0</v>
      </c>
      <c r="CC79" s="11">
        <f t="shared" si="27"/>
        <v>0</v>
      </c>
      <c r="CD79" s="11">
        <f t="shared" si="28"/>
        <v>1</v>
      </c>
      <c r="CE79" s="4"/>
      <c r="CF79" s="50">
        <f t="shared" si="29"/>
        <v>0</v>
      </c>
      <c r="CG79" s="50">
        <f t="shared" si="30"/>
        <v>0</v>
      </c>
      <c r="CH79" s="50">
        <f t="shared" si="31"/>
        <v>4.1833333333488598</v>
      </c>
      <c r="CI79" s="50">
        <f t="shared" si="32"/>
        <v>1</v>
      </c>
      <c r="CJ79" s="50">
        <f t="shared" si="33"/>
        <v>0</v>
      </c>
      <c r="CK79" s="50">
        <f t="shared" si="34"/>
        <v>0</v>
      </c>
      <c r="CL79" s="50">
        <f t="shared" si="35"/>
        <v>0</v>
      </c>
      <c r="CM79" s="50">
        <f t="shared" si="36"/>
        <v>0</v>
      </c>
      <c r="CN79" s="50">
        <f t="shared" si="37"/>
        <v>4.1833333333488598</v>
      </c>
      <c r="CO79" s="50">
        <f t="shared" si="38"/>
        <v>1</v>
      </c>
      <c r="CP79" s="50">
        <f t="shared" si="39"/>
        <v>0</v>
      </c>
      <c r="CQ79" s="50">
        <f t="shared" si="40"/>
        <v>0</v>
      </c>
      <c r="CR79"/>
    </row>
    <row r="80" spans="2:96" s="369" customFormat="1" ht="15.75" customHeight="1" x14ac:dyDescent="0.15">
      <c r="B80" s="59"/>
      <c r="D80" s="130">
        <v>21</v>
      </c>
      <c r="AA80" s="28" t="s">
        <v>701</v>
      </c>
      <c r="AB80" s="31" t="s">
        <v>953</v>
      </c>
      <c r="AC80" s="247" t="s">
        <v>1440</v>
      </c>
      <c r="AD80" s="314" t="s">
        <v>110</v>
      </c>
      <c r="AE80" s="315" t="s">
        <v>1621</v>
      </c>
      <c r="AF80" s="316" t="s">
        <v>1432</v>
      </c>
      <c r="AG80" s="248" t="s">
        <v>1622</v>
      </c>
      <c r="AH80" s="248" t="s">
        <v>1623</v>
      </c>
      <c r="AI80" s="248" t="s">
        <v>100</v>
      </c>
      <c r="AJ80" s="317">
        <v>4.0166666666627897</v>
      </c>
      <c r="AK80" s="315" t="s">
        <v>1624</v>
      </c>
      <c r="AL80" s="315">
        <v>0</v>
      </c>
      <c r="AM80" s="315">
        <v>0</v>
      </c>
      <c r="AN80" s="42">
        <f t="shared" si="1"/>
        <v>1</v>
      </c>
      <c r="AO80" s="318">
        <v>0</v>
      </c>
      <c r="AP80" s="318">
        <v>0</v>
      </c>
      <c r="AQ80" s="318">
        <v>1</v>
      </c>
      <c r="AR80" s="318">
        <v>0</v>
      </c>
      <c r="AS80" s="318">
        <v>0</v>
      </c>
      <c r="AT80" s="318">
        <v>1</v>
      </c>
      <c r="AU80" s="42">
        <f t="shared" si="2"/>
        <v>0</v>
      </c>
      <c r="AV80" s="318">
        <v>0</v>
      </c>
      <c r="AW80" s="318">
        <v>650</v>
      </c>
      <c r="AX80" s="315"/>
      <c r="AY80" s="636"/>
      <c r="AZ80" s="319"/>
      <c r="BA80" s="319"/>
      <c r="BB80" s="318">
        <v>1</v>
      </c>
      <c r="BC80" s="9"/>
      <c r="BD80" s="9"/>
      <c r="BE80" s="50">
        <f t="shared" si="3"/>
        <v>0</v>
      </c>
      <c r="BF80" s="50">
        <f t="shared" si="4"/>
        <v>0</v>
      </c>
      <c r="BG80" s="50">
        <f t="shared" si="5"/>
        <v>4.0166666666627897</v>
      </c>
      <c r="BH80" s="50">
        <f t="shared" si="6"/>
        <v>1</v>
      </c>
      <c r="BI80" s="50">
        <f t="shared" si="7"/>
        <v>0</v>
      </c>
      <c r="BJ80" s="50">
        <f t="shared" si="8"/>
        <v>0</v>
      </c>
      <c r="BK80" s="50">
        <f t="shared" si="9"/>
        <v>0</v>
      </c>
      <c r="BL80" s="50">
        <f t="shared" si="10"/>
        <v>0</v>
      </c>
      <c r="BM80" s="50">
        <f t="shared" si="11"/>
        <v>4.0166666666627897</v>
      </c>
      <c r="BN80" s="50">
        <f t="shared" si="12"/>
        <v>1</v>
      </c>
      <c r="BO80" s="50">
        <f t="shared" si="13"/>
        <v>0</v>
      </c>
      <c r="BP80" s="50">
        <f t="shared" si="14"/>
        <v>0</v>
      </c>
      <c r="BQ80" s="4" t="str">
        <f t="shared" si="15"/>
        <v>14,51 2025.04.04</v>
      </c>
      <c r="BR80" s="4" t="str">
        <f t="shared" si="16"/>
        <v>18,52 2025.04.04</v>
      </c>
      <c r="BS80" s="4" t="str">
        <f t="shared" si="17"/>
        <v>П</v>
      </c>
      <c r="BT80" s="10">
        <f t="shared" si="18"/>
        <v>4.0166666666627897</v>
      </c>
      <c r="BU80" s="42">
        <f t="shared" si="19"/>
        <v>1</v>
      </c>
      <c r="BV80" s="11">
        <f t="shared" si="20"/>
        <v>0</v>
      </c>
      <c r="BW80" s="11">
        <f t="shared" si="21"/>
        <v>0</v>
      </c>
      <c r="BX80" s="11">
        <f t="shared" si="22"/>
        <v>1</v>
      </c>
      <c r="BY80" s="11">
        <f t="shared" si="23"/>
        <v>0</v>
      </c>
      <c r="BZ80" s="11">
        <f t="shared" si="24"/>
        <v>0</v>
      </c>
      <c r="CA80" s="11">
        <f t="shared" si="25"/>
        <v>1</v>
      </c>
      <c r="CB80" s="42">
        <f t="shared" si="26"/>
        <v>0</v>
      </c>
      <c r="CC80" s="11">
        <f t="shared" si="27"/>
        <v>0</v>
      </c>
      <c r="CD80" s="11">
        <f t="shared" si="28"/>
        <v>1</v>
      </c>
      <c r="CE80" s="4"/>
      <c r="CF80" s="50">
        <f t="shared" si="29"/>
        <v>0</v>
      </c>
      <c r="CG80" s="50">
        <f t="shared" si="30"/>
        <v>0</v>
      </c>
      <c r="CH80" s="50">
        <f t="shared" si="31"/>
        <v>4.0166666666627897</v>
      </c>
      <c r="CI80" s="50">
        <f t="shared" si="32"/>
        <v>1</v>
      </c>
      <c r="CJ80" s="50">
        <f t="shared" si="33"/>
        <v>0</v>
      </c>
      <c r="CK80" s="50">
        <f t="shared" si="34"/>
        <v>0</v>
      </c>
      <c r="CL80" s="50">
        <f t="shared" si="35"/>
        <v>0</v>
      </c>
      <c r="CM80" s="50">
        <f t="shared" si="36"/>
        <v>0</v>
      </c>
      <c r="CN80" s="50">
        <f t="shared" si="37"/>
        <v>4.0166666666627897</v>
      </c>
      <c r="CO80" s="50">
        <f t="shared" si="38"/>
        <v>1</v>
      </c>
      <c r="CP80" s="50">
        <f t="shared" si="39"/>
        <v>0</v>
      </c>
      <c r="CQ80" s="50">
        <f t="shared" si="40"/>
        <v>0</v>
      </c>
      <c r="CR80"/>
    </row>
    <row r="81" spans="2:96" s="370" customFormat="1" ht="15.75" customHeight="1" x14ac:dyDescent="0.15">
      <c r="B81" s="59"/>
      <c r="D81" s="130">
        <v>21</v>
      </c>
      <c r="AA81" s="28" t="s">
        <v>701</v>
      </c>
      <c r="AB81" s="31" t="s">
        <v>954</v>
      </c>
      <c r="AC81" s="247" t="s">
        <v>1440</v>
      </c>
      <c r="AD81" s="314" t="s">
        <v>110</v>
      </c>
      <c r="AE81" s="315" t="s">
        <v>1558</v>
      </c>
      <c r="AF81" s="316" t="s">
        <v>1432</v>
      </c>
      <c r="AG81" s="248" t="s">
        <v>1625</v>
      </c>
      <c r="AH81" s="248" t="s">
        <v>1626</v>
      </c>
      <c r="AI81" s="248" t="s">
        <v>100</v>
      </c>
      <c r="AJ81" s="317">
        <v>3.65000000002328</v>
      </c>
      <c r="AK81" s="315" t="s">
        <v>1561</v>
      </c>
      <c r="AL81" s="315">
        <v>0</v>
      </c>
      <c r="AM81" s="315">
        <v>0</v>
      </c>
      <c r="AN81" s="42">
        <f t="shared" si="1"/>
        <v>1</v>
      </c>
      <c r="AO81" s="318">
        <v>0</v>
      </c>
      <c r="AP81" s="318">
        <v>0</v>
      </c>
      <c r="AQ81" s="318">
        <v>1</v>
      </c>
      <c r="AR81" s="318">
        <v>0</v>
      </c>
      <c r="AS81" s="318">
        <v>0</v>
      </c>
      <c r="AT81" s="318">
        <v>1</v>
      </c>
      <c r="AU81" s="42">
        <f t="shared" si="2"/>
        <v>0</v>
      </c>
      <c r="AV81" s="318">
        <v>0</v>
      </c>
      <c r="AW81" s="318">
        <v>1330</v>
      </c>
      <c r="AX81" s="315"/>
      <c r="AY81" s="636"/>
      <c r="AZ81" s="319"/>
      <c r="BA81" s="319"/>
      <c r="BB81" s="318">
        <v>1</v>
      </c>
      <c r="BC81" s="9"/>
      <c r="BD81" s="9"/>
      <c r="BE81" s="50">
        <f t="shared" si="3"/>
        <v>0</v>
      </c>
      <c r="BF81" s="50">
        <f t="shared" si="4"/>
        <v>0</v>
      </c>
      <c r="BG81" s="50">
        <f t="shared" si="5"/>
        <v>3.65000000002328</v>
      </c>
      <c r="BH81" s="50">
        <f t="shared" si="6"/>
        <v>1</v>
      </c>
      <c r="BI81" s="50">
        <f t="shared" si="7"/>
        <v>0</v>
      </c>
      <c r="BJ81" s="50">
        <f t="shared" si="8"/>
        <v>0</v>
      </c>
      <c r="BK81" s="50">
        <f t="shared" si="9"/>
        <v>0</v>
      </c>
      <c r="BL81" s="50">
        <f t="shared" si="10"/>
        <v>0</v>
      </c>
      <c r="BM81" s="50">
        <f t="shared" si="11"/>
        <v>3.65000000002328</v>
      </c>
      <c r="BN81" s="50">
        <f t="shared" si="12"/>
        <v>1</v>
      </c>
      <c r="BO81" s="50">
        <f t="shared" si="13"/>
        <v>0</v>
      </c>
      <c r="BP81" s="50">
        <f t="shared" si="14"/>
        <v>0</v>
      </c>
      <c r="BQ81" s="4" t="str">
        <f t="shared" si="15"/>
        <v>11,25 2025.04.07</v>
      </c>
      <c r="BR81" s="4" t="str">
        <f t="shared" si="16"/>
        <v>15,04 2025.04.07</v>
      </c>
      <c r="BS81" s="4" t="str">
        <f t="shared" si="17"/>
        <v>П</v>
      </c>
      <c r="BT81" s="10">
        <f t="shared" si="18"/>
        <v>3.65000000002328</v>
      </c>
      <c r="BU81" s="42">
        <f t="shared" si="19"/>
        <v>1</v>
      </c>
      <c r="BV81" s="11">
        <f t="shared" si="20"/>
        <v>0</v>
      </c>
      <c r="BW81" s="11">
        <f t="shared" si="21"/>
        <v>0</v>
      </c>
      <c r="BX81" s="11">
        <f t="shared" si="22"/>
        <v>1</v>
      </c>
      <c r="BY81" s="11">
        <f t="shared" si="23"/>
        <v>0</v>
      </c>
      <c r="BZ81" s="11">
        <f t="shared" si="24"/>
        <v>0</v>
      </c>
      <c r="CA81" s="11">
        <f t="shared" si="25"/>
        <v>1</v>
      </c>
      <c r="CB81" s="42">
        <f t="shared" si="26"/>
        <v>0</v>
      </c>
      <c r="CC81" s="11">
        <f t="shared" si="27"/>
        <v>0</v>
      </c>
      <c r="CD81" s="11">
        <f t="shared" si="28"/>
        <v>1</v>
      </c>
      <c r="CE81" s="4"/>
      <c r="CF81" s="50">
        <f t="shared" si="29"/>
        <v>0</v>
      </c>
      <c r="CG81" s="50">
        <f t="shared" si="30"/>
        <v>0</v>
      </c>
      <c r="CH81" s="50">
        <f t="shared" si="31"/>
        <v>3.65000000002328</v>
      </c>
      <c r="CI81" s="50">
        <f t="shared" si="32"/>
        <v>1</v>
      </c>
      <c r="CJ81" s="50">
        <f t="shared" si="33"/>
        <v>0</v>
      </c>
      <c r="CK81" s="50">
        <f t="shared" si="34"/>
        <v>0</v>
      </c>
      <c r="CL81" s="50">
        <f t="shared" si="35"/>
        <v>0</v>
      </c>
      <c r="CM81" s="50">
        <f t="shared" si="36"/>
        <v>0</v>
      </c>
      <c r="CN81" s="50">
        <f t="shared" si="37"/>
        <v>3.65000000002328</v>
      </c>
      <c r="CO81" s="50">
        <f t="shared" si="38"/>
        <v>1</v>
      </c>
      <c r="CP81" s="50">
        <f t="shared" si="39"/>
        <v>0</v>
      </c>
      <c r="CQ81" s="50">
        <f t="shared" si="40"/>
        <v>0</v>
      </c>
      <c r="CR81"/>
    </row>
    <row r="82" spans="2:96" s="371" customFormat="1" ht="15.75" customHeight="1" x14ac:dyDescent="0.15">
      <c r="B82" s="59"/>
      <c r="D82" s="130">
        <v>21</v>
      </c>
      <c r="AA82" s="28" t="s">
        <v>701</v>
      </c>
      <c r="AB82" s="31" t="s">
        <v>955</v>
      </c>
      <c r="AC82" s="247" t="s">
        <v>1627</v>
      </c>
      <c r="AD82" s="314" t="s">
        <v>110</v>
      </c>
      <c r="AE82" s="315" t="s">
        <v>1628</v>
      </c>
      <c r="AF82" s="316" t="s">
        <v>1432</v>
      </c>
      <c r="AG82" s="248" t="s">
        <v>1629</v>
      </c>
      <c r="AH82" s="248" t="s">
        <v>1630</v>
      </c>
      <c r="AI82" s="248" t="s">
        <v>100</v>
      </c>
      <c r="AJ82" s="317">
        <v>0.84999999997671705</v>
      </c>
      <c r="AK82" s="315" t="s">
        <v>1631</v>
      </c>
      <c r="AL82" s="315">
        <v>0</v>
      </c>
      <c r="AM82" s="315">
        <v>0</v>
      </c>
      <c r="AN82" s="42">
        <f t="shared" si="1"/>
        <v>1</v>
      </c>
      <c r="AO82" s="318">
        <v>0</v>
      </c>
      <c r="AP82" s="318">
        <v>0</v>
      </c>
      <c r="AQ82" s="318">
        <v>1</v>
      </c>
      <c r="AR82" s="318">
        <v>0</v>
      </c>
      <c r="AS82" s="318">
        <v>0</v>
      </c>
      <c r="AT82" s="318">
        <v>1</v>
      </c>
      <c r="AU82" s="42">
        <f t="shared" si="2"/>
        <v>0</v>
      </c>
      <c r="AV82" s="318">
        <v>0</v>
      </c>
      <c r="AW82" s="318">
        <v>150</v>
      </c>
      <c r="AX82" s="315"/>
      <c r="AY82" s="636"/>
      <c r="AZ82" s="319"/>
      <c r="BA82" s="319"/>
      <c r="BB82" s="318">
        <v>1</v>
      </c>
      <c r="BC82" s="9"/>
      <c r="BD82" s="9"/>
      <c r="BE82" s="50">
        <f t="shared" si="3"/>
        <v>0</v>
      </c>
      <c r="BF82" s="50">
        <f t="shared" si="4"/>
        <v>0</v>
      </c>
      <c r="BG82" s="50">
        <f t="shared" si="5"/>
        <v>0.84999999997671705</v>
      </c>
      <c r="BH82" s="50">
        <f t="shared" si="6"/>
        <v>1</v>
      </c>
      <c r="BI82" s="50">
        <f t="shared" si="7"/>
        <v>0</v>
      </c>
      <c r="BJ82" s="50">
        <f t="shared" si="8"/>
        <v>0</v>
      </c>
      <c r="BK82" s="50">
        <f t="shared" si="9"/>
        <v>0</v>
      </c>
      <c r="BL82" s="50">
        <f t="shared" si="10"/>
        <v>0</v>
      </c>
      <c r="BM82" s="50">
        <f t="shared" si="11"/>
        <v>0.84999999997671705</v>
      </c>
      <c r="BN82" s="50">
        <f t="shared" si="12"/>
        <v>1</v>
      </c>
      <c r="BO82" s="50">
        <f t="shared" si="13"/>
        <v>0</v>
      </c>
      <c r="BP82" s="50">
        <f t="shared" si="14"/>
        <v>0</v>
      </c>
      <c r="BQ82" s="4" t="str">
        <f t="shared" si="15"/>
        <v>15,35 2025.04.08</v>
      </c>
      <c r="BR82" s="4" t="str">
        <f t="shared" si="16"/>
        <v>16,26 2025.04.08</v>
      </c>
      <c r="BS82" s="4" t="str">
        <f t="shared" si="17"/>
        <v>П</v>
      </c>
      <c r="BT82" s="10">
        <f t="shared" si="18"/>
        <v>0.84999999997671705</v>
      </c>
      <c r="BU82" s="42">
        <f t="shared" si="19"/>
        <v>1</v>
      </c>
      <c r="BV82" s="11">
        <f t="shared" si="20"/>
        <v>0</v>
      </c>
      <c r="BW82" s="11">
        <f t="shared" si="21"/>
        <v>0</v>
      </c>
      <c r="BX82" s="11">
        <f t="shared" si="22"/>
        <v>1</v>
      </c>
      <c r="BY82" s="11">
        <f t="shared" si="23"/>
        <v>0</v>
      </c>
      <c r="BZ82" s="11">
        <f t="shared" si="24"/>
        <v>0</v>
      </c>
      <c r="CA82" s="11">
        <f t="shared" si="25"/>
        <v>1</v>
      </c>
      <c r="CB82" s="42">
        <f t="shared" si="26"/>
        <v>0</v>
      </c>
      <c r="CC82" s="11">
        <f t="shared" si="27"/>
        <v>0</v>
      </c>
      <c r="CD82" s="11">
        <f t="shared" si="28"/>
        <v>1</v>
      </c>
      <c r="CE82" s="4"/>
      <c r="CF82" s="50">
        <f t="shared" si="29"/>
        <v>0</v>
      </c>
      <c r="CG82" s="50">
        <f t="shared" si="30"/>
        <v>0</v>
      </c>
      <c r="CH82" s="50">
        <f t="shared" si="31"/>
        <v>0.84999999997671705</v>
      </c>
      <c r="CI82" s="50">
        <f t="shared" si="32"/>
        <v>1</v>
      </c>
      <c r="CJ82" s="50">
        <f t="shared" si="33"/>
        <v>0</v>
      </c>
      <c r="CK82" s="50">
        <f t="shared" si="34"/>
        <v>0</v>
      </c>
      <c r="CL82" s="50">
        <f t="shared" si="35"/>
        <v>0</v>
      </c>
      <c r="CM82" s="50">
        <f t="shared" si="36"/>
        <v>0</v>
      </c>
      <c r="CN82" s="50">
        <f t="shared" si="37"/>
        <v>0.84999999997671705</v>
      </c>
      <c r="CO82" s="50">
        <f t="shared" si="38"/>
        <v>1</v>
      </c>
      <c r="CP82" s="50">
        <f t="shared" si="39"/>
        <v>0</v>
      </c>
      <c r="CQ82" s="50">
        <f t="shared" si="40"/>
        <v>0</v>
      </c>
      <c r="CR82"/>
    </row>
    <row r="83" spans="2:96" s="372" customFormat="1" ht="15.75" customHeight="1" x14ac:dyDescent="0.15">
      <c r="B83" s="59"/>
      <c r="D83" s="130">
        <v>21</v>
      </c>
      <c r="AA83" s="28" t="s">
        <v>701</v>
      </c>
      <c r="AB83" s="31" t="s">
        <v>956</v>
      </c>
      <c r="AC83" s="247" t="s">
        <v>1440</v>
      </c>
      <c r="AD83" s="314" t="s">
        <v>110</v>
      </c>
      <c r="AE83" s="315" t="s">
        <v>1632</v>
      </c>
      <c r="AF83" s="316" t="s">
        <v>1432</v>
      </c>
      <c r="AG83" s="248" t="s">
        <v>1633</v>
      </c>
      <c r="AH83" s="248" t="s">
        <v>1634</v>
      </c>
      <c r="AI83" s="248" t="s">
        <v>100</v>
      </c>
      <c r="AJ83" s="317">
        <v>12.6000000000349</v>
      </c>
      <c r="AK83" s="315" t="s">
        <v>1635</v>
      </c>
      <c r="AL83" s="315">
        <v>0</v>
      </c>
      <c r="AM83" s="315">
        <v>0</v>
      </c>
      <c r="AN83" s="42">
        <f t="shared" si="1"/>
        <v>1</v>
      </c>
      <c r="AO83" s="318">
        <v>0</v>
      </c>
      <c r="AP83" s="318">
        <v>0</v>
      </c>
      <c r="AQ83" s="318">
        <v>1</v>
      </c>
      <c r="AR83" s="318">
        <v>0</v>
      </c>
      <c r="AS83" s="318">
        <v>0</v>
      </c>
      <c r="AT83" s="318">
        <v>1</v>
      </c>
      <c r="AU83" s="42">
        <f t="shared" si="2"/>
        <v>0</v>
      </c>
      <c r="AV83" s="318">
        <v>0</v>
      </c>
      <c r="AW83" s="318">
        <v>350</v>
      </c>
      <c r="AX83" s="315"/>
      <c r="AY83" s="636"/>
      <c r="AZ83" s="319"/>
      <c r="BA83" s="319"/>
      <c r="BB83" s="318">
        <v>1</v>
      </c>
      <c r="BC83" s="9"/>
      <c r="BD83" s="9"/>
      <c r="BE83" s="50">
        <f t="shared" si="3"/>
        <v>0</v>
      </c>
      <c r="BF83" s="50">
        <f t="shared" si="4"/>
        <v>0</v>
      </c>
      <c r="BG83" s="50">
        <f t="shared" si="5"/>
        <v>12.6000000000349</v>
      </c>
      <c r="BH83" s="50">
        <f t="shared" si="6"/>
        <v>1</v>
      </c>
      <c r="BI83" s="50">
        <f t="shared" si="7"/>
        <v>0</v>
      </c>
      <c r="BJ83" s="50">
        <f t="shared" si="8"/>
        <v>0</v>
      </c>
      <c r="BK83" s="50">
        <f t="shared" si="9"/>
        <v>0</v>
      </c>
      <c r="BL83" s="50">
        <f t="shared" si="10"/>
        <v>0</v>
      </c>
      <c r="BM83" s="50">
        <f t="shared" si="11"/>
        <v>12.6000000000349</v>
      </c>
      <c r="BN83" s="50">
        <f t="shared" si="12"/>
        <v>1</v>
      </c>
      <c r="BO83" s="50">
        <f t="shared" si="13"/>
        <v>0</v>
      </c>
      <c r="BP83" s="50">
        <f t="shared" si="14"/>
        <v>0</v>
      </c>
      <c r="BQ83" s="4" t="str">
        <f t="shared" si="15"/>
        <v>09,28 2025.04.09</v>
      </c>
      <c r="BR83" s="4" t="str">
        <f t="shared" si="16"/>
        <v>22,04 2025.04.09</v>
      </c>
      <c r="BS83" s="4" t="str">
        <f t="shared" si="17"/>
        <v>П</v>
      </c>
      <c r="BT83" s="10">
        <f t="shared" si="18"/>
        <v>12.6000000000349</v>
      </c>
      <c r="BU83" s="42">
        <f t="shared" si="19"/>
        <v>1</v>
      </c>
      <c r="BV83" s="11">
        <f t="shared" si="20"/>
        <v>0</v>
      </c>
      <c r="BW83" s="11">
        <f t="shared" si="21"/>
        <v>0</v>
      </c>
      <c r="BX83" s="11">
        <f t="shared" si="22"/>
        <v>1</v>
      </c>
      <c r="BY83" s="11">
        <f t="shared" si="23"/>
        <v>0</v>
      </c>
      <c r="BZ83" s="11">
        <f t="shared" si="24"/>
        <v>0</v>
      </c>
      <c r="CA83" s="11">
        <f t="shared" si="25"/>
        <v>1</v>
      </c>
      <c r="CB83" s="42">
        <f t="shared" si="26"/>
        <v>0</v>
      </c>
      <c r="CC83" s="11">
        <f t="shared" si="27"/>
        <v>0</v>
      </c>
      <c r="CD83" s="11">
        <f t="shared" si="28"/>
        <v>1</v>
      </c>
      <c r="CE83" s="4"/>
      <c r="CF83" s="50">
        <f t="shared" si="29"/>
        <v>0</v>
      </c>
      <c r="CG83" s="50">
        <f t="shared" si="30"/>
        <v>0</v>
      </c>
      <c r="CH83" s="50">
        <f t="shared" si="31"/>
        <v>12.6000000000349</v>
      </c>
      <c r="CI83" s="50">
        <f t="shared" si="32"/>
        <v>1</v>
      </c>
      <c r="CJ83" s="50">
        <f t="shared" si="33"/>
        <v>0</v>
      </c>
      <c r="CK83" s="50">
        <f t="shared" si="34"/>
        <v>0</v>
      </c>
      <c r="CL83" s="50">
        <f t="shared" si="35"/>
        <v>0</v>
      </c>
      <c r="CM83" s="50">
        <f t="shared" si="36"/>
        <v>0</v>
      </c>
      <c r="CN83" s="50">
        <f t="shared" si="37"/>
        <v>12.6000000000349</v>
      </c>
      <c r="CO83" s="50">
        <f t="shared" si="38"/>
        <v>1</v>
      </c>
      <c r="CP83" s="50">
        <f t="shared" si="39"/>
        <v>0</v>
      </c>
      <c r="CQ83" s="50">
        <f t="shared" si="40"/>
        <v>0</v>
      </c>
      <c r="CR83"/>
    </row>
    <row r="84" spans="2:96" s="373" customFormat="1" ht="15.75" customHeight="1" x14ac:dyDescent="0.15">
      <c r="B84" s="59"/>
      <c r="D84" s="130">
        <v>21</v>
      </c>
      <c r="AA84" s="28" t="s">
        <v>701</v>
      </c>
      <c r="AB84" s="31" t="s">
        <v>957</v>
      </c>
      <c r="AC84" s="247" t="s">
        <v>1440</v>
      </c>
      <c r="AD84" s="314" t="s">
        <v>110</v>
      </c>
      <c r="AE84" s="315" t="s">
        <v>1636</v>
      </c>
      <c r="AF84" s="316" t="s">
        <v>1432</v>
      </c>
      <c r="AG84" s="248" t="s">
        <v>1637</v>
      </c>
      <c r="AH84" s="248" t="s">
        <v>1638</v>
      </c>
      <c r="AI84" s="248" t="s">
        <v>100</v>
      </c>
      <c r="AJ84" s="317">
        <v>6.2499999999417897</v>
      </c>
      <c r="AK84" s="315" t="s">
        <v>1639</v>
      </c>
      <c r="AL84" s="315">
        <v>0</v>
      </c>
      <c r="AM84" s="315">
        <v>0</v>
      </c>
      <c r="AN84" s="42">
        <f t="shared" si="1"/>
        <v>1</v>
      </c>
      <c r="AO84" s="318">
        <v>0</v>
      </c>
      <c r="AP84" s="318">
        <v>0</v>
      </c>
      <c r="AQ84" s="318">
        <v>1</v>
      </c>
      <c r="AR84" s="318">
        <v>0</v>
      </c>
      <c r="AS84" s="318">
        <v>0</v>
      </c>
      <c r="AT84" s="318">
        <v>1</v>
      </c>
      <c r="AU84" s="42">
        <f t="shared" si="2"/>
        <v>0</v>
      </c>
      <c r="AV84" s="318">
        <v>0</v>
      </c>
      <c r="AW84" s="318">
        <v>490</v>
      </c>
      <c r="AX84" s="315"/>
      <c r="AY84" s="636"/>
      <c r="AZ84" s="319"/>
      <c r="BA84" s="319"/>
      <c r="BB84" s="318">
        <v>1</v>
      </c>
      <c r="BC84" s="9"/>
      <c r="BD84" s="9"/>
      <c r="BE84" s="50">
        <f t="shared" si="3"/>
        <v>0</v>
      </c>
      <c r="BF84" s="50">
        <f t="shared" si="4"/>
        <v>0</v>
      </c>
      <c r="BG84" s="50">
        <f t="shared" si="5"/>
        <v>6.2499999999417897</v>
      </c>
      <c r="BH84" s="50">
        <f t="shared" si="6"/>
        <v>1</v>
      </c>
      <c r="BI84" s="50">
        <f t="shared" si="7"/>
        <v>0</v>
      </c>
      <c r="BJ84" s="50">
        <f t="shared" si="8"/>
        <v>0</v>
      </c>
      <c r="BK84" s="50">
        <f t="shared" si="9"/>
        <v>0</v>
      </c>
      <c r="BL84" s="50">
        <f t="shared" si="10"/>
        <v>0</v>
      </c>
      <c r="BM84" s="50">
        <f t="shared" si="11"/>
        <v>6.2499999999417897</v>
      </c>
      <c r="BN84" s="50">
        <f t="shared" si="12"/>
        <v>1</v>
      </c>
      <c r="BO84" s="50">
        <f t="shared" si="13"/>
        <v>0</v>
      </c>
      <c r="BP84" s="50">
        <f t="shared" si="14"/>
        <v>0</v>
      </c>
      <c r="BQ84" s="4" t="str">
        <f t="shared" si="15"/>
        <v>15,29 2025.04.09</v>
      </c>
      <c r="BR84" s="4" t="str">
        <f t="shared" si="16"/>
        <v>21,44 2025.04.09</v>
      </c>
      <c r="BS84" s="4" t="str">
        <f t="shared" si="17"/>
        <v>П</v>
      </c>
      <c r="BT84" s="10">
        <f t="shared" si="18"/>
        <v>6.2499999999417897</v>
      </c>
      <c r="BU84" s="42">
        <f t="shared" si="19"/>
        <v>1</v>
      </c>
      <c r="BV84" s="11">
        <f t="shared" si="20"/>
        <v>0</v>
      </c>
      <c r="BW84" s="11">
        <f t="shared" si="21"/>
        <v>0</v>
      </c>
      <c r="BX84" s="11">
        <f t="shared" si="22"/>
        <v>1</v>
      </c>
      <c r="BY84" s="11">
        <f t="shared" si="23"/>
        <v>0</v>
      </c>
      <c r="BZ84" s="11">
        <f t="shared" si="24"/>
        <v>0</v>
      </c>
      <c r="CA84" s="11">
        <f t="shared" si="25"/>
        <v>1</v>
      </c>
      <c r="CB84" s="42">
        <f t="shared" si="26"/>
        <v>0</v>
      </c>
      <c r="CC84" s="11">
        <f t="shared" si="27"/>
        <v>0</v>
      </c>
      <c r="CD84" s="11">
        <f t="shared" si="28"/>
        <v>1</v>
      </c>
      <c r="CE84" s="4"/>
      <c r="CF84" s="50">
        <f t="shared" si="29"/>
        <v>0</v>
      </c>
      <c r="CG84" s="50">
        <f t="shared" si="30"/>
        <v>0</v>
      </c>
      <c r="CH84" s="50">
        <f t="shared" si="31"/>
        <v>6.2499999999417897</v>
      </c>
      <c r="CI84" s="50">
        <f t="shared" si="32"/>
        <v>1</v>
      </c>
      <c r="CJ84" s="50">
        <f t="shared" si="33"/>
        <v>0</v>
      </c>
      <c r="CK84" s="50">
        <f t="shared" si="34"/>
        <v>0</v>
      </c>
      <c r="CL84" s="50">
        <f t="shared" si="35"/>
        <v>0</v>
      </c>
      <c r="CM84" s="50">
        <f t="shared" si="36"/>
        <v>0</v>
      </c>
      <c r="CN84" s="50">
        <f t="shared" si="37"/>
        <v>6.2499999999417897</v>
      </c>
      <c r="CO84" s="50">
        <f t="shared" si="38"/>
        <v>1</v>
      </c>
      <c r="CP84" s="50">
        <f t="shared" si="39"/>
        <v>0</v>
      </c>
      <c r="CQ84" s="50">
        <f t="shared" si="40"/>
        <v>0</v>
      </c>
      <c r="CR84"/>
    </row>
    <row r="85" spans="2:96" s="374" customFormat="1" ht="15.75" customHeight="1" x14ac:dyDescent="0.15">
      <c r="B85" s="59"/>
      <c r="D85" s="130">
        <v>21</v>
      </c>
      <c r="AA85" s="28" t="s">
        <v>701</v>
      </c>
      <c r="AB85" s="31" t="s">
        <v>958</v>
      </c>
      <c r="AC85" s="247" t="s">
        <v>1627</v>
      </c>
      <c r="AD85" s="314" t="s">
        <v>110</v>
      </c>
      <c r="AE85" s="315" t="s">
        <v>1640</v>
      </c>
      <c r="AF85" s="316" t="s">
        <v>1432</v>
      </c>
      <c r="AG85" s="248" t="s">
        <v>1641</v>
      </c>
      <c r="AH85" s="248" t="s">
        <v>1642</v>
      </c>
      <c r="AI85" s="248" t="s">
        <v>100</v>
      </c>
      <c r="AJ85" s="317">
        <v>0.99999999994179201</v>
      </c>
      <c r="AK85" s="315" t="s">
        <v>1643</v>
      </c>
      <c r="AL85" s="315">
        <v>0</v>
      </c>
      <c r="AM85" s="315">
        <v>0</v>
      </c>
      <c r="AN85" s="42">
        <f t="shared" si="1"/>
        <v>1</v>
      </c>
      <c r="AO85" s="318">
        <v>0</v>
      </c>
      <c r="AP85" s="318">
        <v>0</v>
      </c>
      <c r="AQ85" s="318">
        <v>1</v>
      </c>
      <c r="AR85" s="318">
        <v>0</v>
      </c>
      <c r="AS85" s="318">
        <v>0</v>
      </c>
      <c r="AT85" s="318">
        <v>1</v>
      </c>
      <c r="AU85" s="42">
        <f t="shared" si="2"/>
        <v>0</v>
      </c>
      <c r="AV85" s="318">
        <v>0</v>
      </c>
      <c r="AW85" s="318">
        <v>100</v>
      </c>
      <c r="AX85" s="315"/>
      <c r="AY85" s="636"/>
      <c r="AZ85" s="319"/>
      <c r="BA85" s="319"/>
      <c r="BB85" s="318">
        <v>1</v>
      </c>
      <c r="BC85" s="9"/>
      <c r="BD85" s="9"/>
      <c r="BE85" s="50">
        <f t="shared" si="3"/>
        <v>0</v>
      </c>
      <c r="BF85" s="50">
        <f t="shared" si="4"/>
        <v>0</v>
      </c>
      <c r="BG85" s="50">
        <f t="shared" si="5"/>
        <v>0.99999999994179201</v>
      </c>
      <c r="BH85" s="50">
        <f t="shared" si="6"/>
        <v>1</v>
      </c>
      <c r="BI85" s="50">
        <f t="shared" si="7"/>
        <v>0</v>
      </c>
      <c r="BJ85" s="50">
        <f t="shared" si="8"/>
        <v>0</v>
      </c>
      <c r="BK85" s="50">
        <f t="shared" si="9"/>
        <v>0</v>
      </c>
      <c r="BL85" s="50">
        <f t="shared" si="10"/>
        <v>0</v>
      </c>
      <c r="BM85" s="50">
        <f t="shared" si="11"/>
        <v>0.99999999994179201</v>
      </c>
      <c r="BN85" s="50">
        <f t="shared" si="12"/>
        <v>1</v>
      </c>
      <c r="BO85" s="50">
        <f t="shared" si="13"/>
        <v>0</v>
      </c>
      <c r="BP85" s="50">
        <f t="shared" si="14"/>
        <v>0</v>
      </c>
      <c r="BQ85" s="4" t="str">
        <f t="shared" si="15"/>
        <v>09,01 2025.04.10</v>
      </c>
      <c r="BR85" s="4" t="str">
        <f t="shared" si="16"/>
        <v>10,01 2025.04.10</v>
      </c>
      <c r="BS85" s="4" t="str">
        <f t="shared" si="17"/>
        <v>П</v>
      </c>
      <c r="BT85" s="10">
        <f t="shared" si="18"/>
        <v>0.99999999994179201</v>
      </c>
      <c r="BU85" s="42">
        <f t="shared" si="19"/>
        <v>1</v>
      </c>
      <c r="BV85" s="11">
        <f t="shared" si="20"/>
        <v>0</v>
      </c>
      <c r="BW85" s="11">
        <f t="shared" si="21"/>
        <v>0</v>
      </c>
      <c r="BX85" s="11">
        <f t="shared" si="22"/>
        <v>1</v>
      </c>
      <c r="BY85" s="11">
        <f t="shared" si="23"/>
        <v>0</v>
      </c>
      <c r="BZ85" s="11">
        <f t="shared" si="24"/>
        <v>0</v>
      </c>
      <c r="CA85" s="11">
        <f t="shared" si="25"/>
        <v>1</v>
      </c>
      <c r="CB85" s="42">
        <f t="shared" si="26"/>
        <v>0</v>
      </c>
      <c r="CC85" s="11">
        <f t="shared" si="27"/>
        <v>0</v>
      </c>
      <c r="CD85" s="11">
        <f t="shared" si="28"/>
        <v>1</v>
      </c>
      <c r="CE85" s="4"/>
      <c r="CF85" s="50">
        <f t="shared" si="29"/>
        <v>0</v>
      </c>
      <c r="CG85" s="50">
        <f t="shared" si="30"/>
        <v>0</v>
      </c>
      <c r="CH85" s="50">
        <f t="shared" si="31"/>
        <v>0.99999999994179201</v>
      </c>
      <c r="CI85" s="50">
        <f t="shared" si="32"/>
        <v>1</v>
      </c>
      <c r="CJ85" s="50">
        <f t="shared" si="33"/>
        <v>0</v>
      </c>
      <c r="CK85" s="50">
        <f t="shared" si="34"/>
        <v>0</v>
      </c>
      <c r="CL85" s="50">
        <f t="shared" si="35"/>
        <v>0</v>
      </c>
      <c r="CM85" s="50">
        <f t="shared" si="36"/>
        <v>0</v>
      </c>
      <c r="CN85" s="50">
        <f t="shared" si="37"/>
        <v>0.99999999994179201</v>
      </c>
      <c r="CO85" s="50">
        <f t="shared" si="38"/>
        <v>1</v>
      </c>
      <c r="CP85" s="50">
        <f t="shared" si="39"/>
        <v>0</v>
      </c>
      <c r="CQ85" s="50">
        <f t="shared" si="40"/>
        <v>0</v>
      </c>
      <c r="CR85"/>
    </row>
    <row r="86" spans="2:96" s="375" customFormat="1" ht="15.75" customHeight="1" x14ac:dyDescent="0.15">
      <c r="B86" s="59"/>
      <c r="D86" s="130">
        <v>21</v>
      </c>
      <c r="AA86" s="28" t="s">
        <v>701</v>
      </c>
      <c r="AB86" s="31" t="s">
        <v>959</v>
      </c>
      <c r="AC86" s="247" t="s">
        <v>1430</v>
      </c>
      <c r="AD86" s="314" t="s">
        <v>110</v>
      </c>
      <c r="AE86" s="315" t="s">
        <v>1568</v>
      </c>
      <c r="AF86" s="316" t="s">
        <v>1432</v>
      </c>
      <c r="AG86" s="248" t="s">
        <v>1644</v>
      </c>
      <c r="AH86" s="248" t="s">
        <v>1645</v>
      </c>
      <c r="AI86" s="248" t="s">
        <v>100</v>
      </c>
      <c r="AJ86" s="317">
        <v>2.53333333338378</v>
      </c>
      <c r="AK86" s="315" t="s">
        <v>1571</v>
      </c>
      <c r="AL86" s="315">
        <v>0</v>
      </c>
      <c r="AM86" s="315">
        <v>0</v>
      </c>
      <c r="AN86" s="42">
        <f t="shared" si="1"/>
        <v>2</v>
      </c>
      <c r="AO86" s="318">
        <v>0</v>
      </c>
      <c r="AP86" s="318">
        <v>0</v>
      </c>
      <c r="AQ86" s="318">
        <v>2</v>
      </c>
      <c r="AR86" s="318">
        <v>0</v>
      </c>
      <c r="AS86" s="318">
        <v>0</v>
      </c>
      <c r="AT86" s="318">
        <v>2</v>
      </c>
      <c r="AU86" s="42">
        <f t="shared" si="2"/>
        <v>0</v>
      </c>
      <c r="AV86" s="318">
        <v>0</v>
      </c>
      <c r="AW86" s="318">
        <v>870</v>
      </c>
      <c r="AX86" s="315"/>
      <c r="AY86" s="636"/>
      <c r="AZ86" s="319"/>
      <c r="BA86" s="319"/>
      <c r="BB86" s="318">
        <v>1</v>
      </c>
      <c r="BC86" s="9"/>
      <c r="BD86" s="9"/>
      <c r="BE86" s="50">
        <f t="shared" si="3"/>
        <v>0</v>
      </c>
      <c r="BF86" s="50">
        <f t="shared" si="4"/>
        <v>0</v>
      </c>
      <c r="BG86" s="50">
        <f t="shared" si="5"/>
        <v>5.0666666667675599</v>
      </c>
      <c r="BH86" s="50">
        <f t="shared" si="6"/>
        <v>2</v>
      </c>
      <c r="BI86" s="50">
        <f t="shared" si="7"/>
        <v>0</v>
      </c>
      <c r="BJ86" s="50">
        <f t="shared" si="8"/>
        <v>0</v>
      </c>
      <c r="BK86" s="50">
        <f t="shared" si="9"/>
        <v>0</v>
      </c>
      <c r="BL86" s="50">
        <f t="shared" si="10"/>
        <v>0</v>
      </c>
      <c r="BM86" s="50">
        <f t="shared" si="11"/>
        <v>5.0666666667675599</v>
      </c>
      <c r="BN86" s="50">
        <f t="shared" si="12"/>
        <v>2</v>
      </c>
      <c r="BO86" s="50">
        <f t="shared" si="13"/>
        <v>0</v>
      </c>
      <c r="BP86" s="50">
        <f t="shared" si="14"/>
        <v>0</v>
      </c>
      <c r="BQ86" s="4" t="str">
        <f t="shared" si="15"/>
        <v>09,06 2025.04.10</v>
      </c>
      <c r="BR86" s="4" t="str">
        <f t="shared" si="16"/>
        <v>11,38 2025.04.10</v>
      </c>
      <c r="BS86" s="4" t="str">
        <f t="shared" si="17"/>
        <v>П</v>
      </c>
      <c r="BT86" s="10">
        <f t="shared" si="18"/>
        <v>2.53333333338378</v>
      </c>
      <c r="BU86" s="42">
        <f t="shared" si="19"/>
        <v>2</v>
      </c>
      <c r="BV86" s="11">
        <f t="shared" si="20"/>
        <v>0</v>
      </c>
      <c r="BW86" s="11">
        <f t="shared" si="21"/>
        <v>0</v>
      </c>
      <c r="BX86" s="11">
        <f t="shared" si="22"/>
        <v>2</v>
      </c>
      <c r="BY86" s="11">
        <f t="shared" si="23"/>
        <v>0</v>
      </c>
      <c r="BZ86" s="11">
        <f t="shared" si="24"/>
        <v>0</v>
      </c>
      <c r="CA86" s="11">
        <f t="shared" si="25"/>
        <v>2</v>
      </c>
      <c r="CB86" s="42">
        <f t="shared" si="26"/>
        <v>0</v>
      </c>
      <c r="CC86" s="11">
        <f t="shared" si="27"/>
        <v>0</v>
      </c>
      <c r="CD86" s="11">
        <f t="shared" si="28"/>
        <v>1</v>
      </c>
      <c r="CE86" s="4"/>
      <c r="CF86" s="50">
        <f t="shared" si="29"/>
        <v>0</v>
      </c>
      <c r="CG86" s="50">
        <f t="shared" si="30"/>
        <v>0</v>
      </c>
      <c r="CH86" s="50">
        <f t="shared" si="31"/>
        <v>5.0666666667675599</v>
      </c>
      <c r="CI86" s="50">
        <f t="shared" si="32"/>
        <v>2</v>
      </c>
      <c r="CJ86" s="50">
        <f t="shared" si="33"/>
        <v>0</v>
      </c>
      <c r="CK86" s="50">
        <f t="shared" si="34"/>
        <v>0</v>
      </c>
      <c r="CL86" s="50">
        <f t="shared" si="35"/>
        <v>0</v>
      </c>
      <c r="CM86" s="50">
        <f t="shared" si="36"/>
        <v>0</v>
      </c>
      <c r="CN86" s="50">
        <f t="shared" si="37"/>
        <v>5.0666666667675599</v>
      </c>
      <c r="CO86" s="50">
        <f t="shared" si="38"/>
        <v>2</v>
      </c>
      <c r="CP86" s="50">
        <f t="shared" si="39"/>
        <v>0</v>
      </c>
      <c r="CQ86" s="50">
        <f t="shared" si="40"/>
        <v>0</v>
      </c>
      <c r="CR86"/>
    </row>
    <row r="87" spans="2:96" s="376" customFormat="1" ht="15.75" customHeight="1" x14ac:dyDescent="0.15">
      <c r="B87" s="59"/>
      <c r="D87" s="130">
        <v>21</v>
      </c>
      <c r="AA87" s="28" t="s">
        <v>701</v>
      </c>
      <c r="AB87" s="31" t="s">
        <v>960</v>
      </c>
      <c r="AC87" s="247" t="s">
        <v>1440</v>
      </c>
      <c r="AD87" s="314" t="s">
        <v>110</v>
      </c>
      <c r="AE87" s="315" t="s">
        <v>1646</v>
      </c>
      <c r="AF87" s="316" t="s">
        <v>1432</v>
      </c>
      <c r="AG87" s="248" t="s">
        <v>1647</v>
      </c>
      <c r="AH87" s="248" t="s">
        <v>1648</v>
      </c>
      <c r="AI87" s="248" t="s">
        <v>100</v>
      </c>
      <c r="AJ87" s="317">
        <v>1.1333333333605</v>
      </c>
      <c r="AK87" s="315" t="s">
        <v>1649</v>
      </c>
      <c r="AL87" s="315">
        <v>0</v>
      </c>
      <c r="AM87" s="315">
        <v>0</v>
      </c>
      <c r="AN87" s="42">
        <f t="shared" si="1"/>
        <v>1</v>
      </c>
      <c r="AO87" s="318">
        <v>0</v>
      </c>
      <c r="AP87" s="318">
        <v>0</v>
      </c>
      <c r="AQ87" s="318">
        <v>1</v>
      </c>
      <c r="AR87" s="318">
        <v>0</v>
      </c>
      <c r="AS87" s="318">
        <v>0</v>
      </c>
      <c r="AT87" s="318">
        <v>1</v>
      </c>
      <c r="AU87" s="42">
        <f t="shared" si="2"/>
        <v>0</v>
      </c>
      <c r="AV87" s="318">
        <v>0</v>
      </c>
      <c r="AW87" s="318">
        <v>200</v>
      </c>
      <c r="AX87" s="315"/>
      <c r="AY87" s="636"/>
      <c r="AZ87" s="319"/>
      <c r="BA87" s="319"/>
      <c r="BB87" s="318">
        <v>1</v>
      </c>
      <c r="BC87" s="9"/>
      <c r="BD87" s="9"/>
      <c r="BE87" s="50">
        <f t="shared" si="3"/>
        <v>0</v>
      </c>
      <c r="BF87" s="50">
        <f t="shared" si="4"/>
        <v>0</v>
      </c>
      <c r="BG87" s="50">
        <f t="shared" si="5"/>
        <v>1.1333333333605</v>
      </c>
      <c r="BH87" s="50">
        <f t="shared" si="6"/>
        <v>1</v>
      </c>
      <c r="BI87" s="50">
        <f t="shared" si="7"/>
        <v>0</v>
      </c>
      <c r="BJ87" s="50">
        <f t="shared" si="8"/>
        <v>0</v>
      </c>
      <c r="BK87" s="50">
        <f t="shared" si="9"/>
        <v>0</v>
      </c>
      <c r="BL87" s="50">
        <f t="shared" si="10"/>
        <v>0</v>
      </c>
      <c r="BM87" s="50">
        <f t="shared" si="11"/>
        <v>1.1333333333605</v>
      </c>
      <c r="BN87" s="50">
        <f t="shared" si="12"/>
        <v>1</v>
      </c>
      <c r="BO87" s="50">
        <f t="shared" si="13"/>
        <v>0</v>
      </c>
      <c r="BP87" s="50">
        <f t="shared" si="14"/>
        <v>0</v>
      </c>
      <c r="BQ87" s="4" t="str">
        <f t="shared" si="15"/>
        <v>10,55 2025.04.10</v>
      </c>
      <c r="BR87" s="4" t="str">
        <f t="shared" si="16"/>
        <v>12,03 2025.04.10</v>
      </c>
      <c r="BS87" s="4" t="str">
        <f t="shared" si="17"/>
        <v>П</v>
      </c>
      <c r="BT87" s="10">
        <f t="shared" si="18"/>
        <v>1.1333333333605</v>
      </c>
      <c r="BU87" s="42">
        <f t="shared" si="19"/>
        <v>1</v>
      </c>
      <c r="BV87" s="11">
        <f t="shared" si="20"/>
        <v>0</v>
      </c>
      <c r="BW87" s="11">
        <f t="shared" si="21"/>
        <v>0</v>
      </c>
      <c r="BX87" s="11">
        <f t="shared" si="22"/>
        <v>1</v>
      </c>
      <c r="BY87" s="11">
        <f t="shared" si="23"/>
        <v>0</v>
      </c>
      <c r="BZ87" s="11">
        <f t="shared" si="24"/>
        <v>0</v>
      </c>
      <c r="CA87" s="11">
        <f t="shared" si="25"/>
        <v>1</v>
      </c>
      <c r="CB87" s="42">
        <f t="shared" si="26"/>
        <v>0</v>
      </c>
      <c r="CC87" s="11">
        <f t="shared" si="27"/>
        <v>0</v>
      </c>
      <c r="CD87" s="11">
        <f t="shared" si="28"/>
        <v>1</v>
      </c>
      <c r="CE87" s="4"/>
      <c r="CF87" s="50">
        <f t="shared" si="29"/>
        <v>0</v>
      </c>
      <c r="CG87" s="50">
        <f t="shared" si="30"/>
        <v>0</v>
      </c>
      <c r="CH87" s="50">
        <f t="shared" si="31"/>
        <v>1.1333333333605</v>
      </c>
      <c r="CI87" s="50">
        <f t="shared" si="32"/>
        <v>1</v>
      </c>
      <c r="CJ87" s="50">
        <f t="shared" si="33"/>
        <v>0</v>
      </c>
      <c r="CK87" s="50">
        <f t="shared" si="34"/>
        <v>0</v>
      </c>
      <c r="CL87" s="50">
        <f t="shared" si="35"/>
        <v>0</v>
      </c>
      <c r="CM87" s="50">
        <f t="shared" si="36"/>
        <v>0</v>
      </c>
      <c r="CN87" s="50">
        <f t="shared" si="37"/>
        <v>1.1333333333605</v>
      </c>
      <c r="CO87" s="50">
        <f t="shared" si="38"/>
        <v>1</v>
      </c>
      <c r="CP87" s="50">
        <f t="shared" si="39"/>
        <v>0</v>
      </c>
      <c r="CQ87" s="50">
        <f t="shared" si="40"/>
        <v>0</v>
      </c>
      <c r="CR87"/>
    </row>
    <row r="88" spans="2:96" s="377" customFormat="1" ht="15.75" customHeight="1" x14ac:dyDescent="0.15">
      <c r="B88" s="59"/>
      <c r="D88" s="130">
        <v>21</v>
      </c>
      <c r="AA88" s="28" t="s">
        <v>701</v>
      </c>
      <c r="AB88" s="31" t="s">
        <v>961</v>
      </c>
      <c r="AC88" s="247" t="s">
        <v>1627</v>
      </c>
      <c r="AD88" s="314" t="s">
        <v>110</v>
      </c>
      <c r="AE88" s="315" t="s">
        <v>1650</v>
      </c>
      <c r="AF88" s="316" t="s">
        <v>1432</v>
      </c>
      <c r="AG88" s="248" t="s">
        <v>1651</v>
      </c>
      <c r="AH88" s="248" t="s">
        <v>1652</v>
      </c>
      <c r="AI88" s="248" t="s">
        <v>100</v>
      </c>
      <c r="AJ88" s="317">
        <v>0.63333333330228903</v>
      </c>
      <c r="AK88" s="315" t="s">
        <v>1653</v>
      </c>
      <c r="AL88" s="315">
        <v>0</v>
      </c>
      <c r="AM88" s="315">
        <v>0</v>
      </c>
      <c r="AN88" s="42">
        <f t="shared" si="1"/>
        <v>1</v>
      </c>
      <c r="AO88" s="318">
        <v>0</v>
      </c>
      <c r="AP88" s="318">
        <v>0</v>
      </c>
      <c r="AQ88" s="318">
        <v>1</v>
      </c>
      <c r="AR88" s="318">
        <v>0</v>
      </c>
      <c r="AS88" s="318">
        <v>0</v>
      </c>
      <c r="AT88" s="318">
        <v>1</v>
      </c>
      <c r="AU88" s="42">
        <f t="shared" si="2"/>
        <v>0</v>
      </c>
      <c r="AV88" s="318">
        <v>0</v>
      </c>
      <c r="AW88" s="318">
        <v>230</v>
      </c>
      <c r="AX88" s="315"/>
      <c r="AY88" s="636"/>
      <c r="AZ88" s="319"/>
      <c r="BA88" s="319"/>
      <c r="BB88" s="318">
        <v>1</v>
      </c>
      <c r="BC88" s="9"/>
      <c r="BD88" s="9"/>
      <c r="BE88" s="50">
        <f t="shared" si="3"/>
        <v>0</v>
      </c>
      <c r="BF88" s="50">
        <f t="shared" si="4"/>
        <v>0</v>
      </c>
      <c r="BG88" s="50">
        <f t="shared" si="5"/>
        <v>0.63333333330228903</v>
      </c>
      <c r="BH88" s="50">
        <f t="shared" si="6"/>
        <v>1</v>
      </c>
      <c r="BI88" s="50">
        <f t="shared" si="7"/>
        <v>0</v>
      </c>
      <c r="BJ88" s="50">
        <f t="shared" si="8"/>
        <v>0</v>
      </c>
      <c r="BK88" s="50">
        <f t="shared" si="9"/>
        <v>0</v>
      </c>
      <c r="BL88" s="50">
        <f t="shared" si="10"/>
        <v>0</v>
      </c>
      <c r="BM88" s="50">
        <f t="shared" si="11"/>
        <v>0.63333333330228903</v>
      </c>
      <c r="BN88" s="50">
        <f t="shared" si="12"/>
        <v>1</v>
      </c>
      <c r="BO88" s="50">
        <f t="shared" si="13"/>
        <v>0</v>
      </c>
      <c r="BP88" s="50">
        <f t="shared" si="14"/>
        <v>0</v>
      </c>
      <c r="BQ88" s="4" t="str">
        <f t="shared" si="15"/>
        <v>14,27 2025.04.10</v>
      </c>
      <c r="BR88" s="4" t="str">
        <f t="shared" si="16"/>
        <v>15,05 2025.04.10</v>
      </c>
      <c r="BS88" s="4" t="str">
        <f t="shared" si="17"/>
        <v>П</v>
      </c>
      <c r="BT88" s="10">
        <f t="shared" si="18"/>
        <v>0.63333333330228903</v>
      </c>
      <c r="BU88" s="42">
        <f t="shared" si="19"/>
        <v>1</v>
      </c>
      <c r="BV88" s="11">
        <f t="shared" si="20"/>
        <v>0</v>
      </c>
      <c r="BW88" s="11">
        <f t="shared" si="21"/>
        <v>0</v>
      </c>
      <c r="BX88" s="11">
        <f t="shared" si="22"/>
        <v>1</v>
      </c>
      <c r="BY88" s="11">
        <f t="shared" si="23"/>
        <v>0</v>
      </c>
      <c r="BZ88" s="11">
        <f t="shared" si="24"/>
        <v>0</v>
      </c>
      <c r="CA88" s="11">
        <f t="shared" si="25"/>
        <v>1</v>
      </c>
      <c r="CB88" s="42">
        <f t="shared" si="26"/>
        <v>0</v>
      </c>
      <c r="CC88" s="11">
        <f t="shared" si="27"/>
        <v>0</v>
      </c>
      <c r="CD88" s="11">
        <f t="shared" si="28"/>
        <v>1</v>
      </c>
      <c r="CE88" s="4"/>
      <c r="CF88" s="50">
        <f t="shared" si="29"/>
        <v>0</v>
      </c>
      <c r="CG88" s="50">
        <f t="shared" si="30"/>
        <v>0</v>
      </c>
      <c r="CH88" s="50">
        <f t="shared" si="31"/>
        <v>0.63333333330228903</v>
      </c>
      <c r="CI88" s="50">
        <f t="shared" si="32"/>
        <v>1</v>
      </c>
      <c r="CJ88" s="50">
        <f t="shared" si="33"/>
        <v>0</v>
      </c>
      <c r="CK88" s="50">
        <f t="shared" si="34"/>
        <v>0</v>
      </c>
      <c r="CL88" s="50">
        <f t="shared" si="35"/>
        <v>0</v>
      </c>
      <c r="CM88" s="50">
        <f t="shared" si="36"/>
        <v>0</v>
      </c>
      <c r="CN88" s="50">
        <f t="shared" si="37"/>
        <v>0.63333333330228903</v>
      </c>
      <c r="CO88" s="50">
        <f t="shared" si="38"/>
        <v>1</v>
      </c>
      <c r="CP88" s="50">
        <f t="shared" si="39"/>
        <v>0</v>
      </c>
      <c r="CQ88" s="50">
        <f t="shared" si="40"/>
        <v>0</v>
      </c>
      <c r="CR88"/>
    </row>
    <row r="89" spans="2:96" s="378" customFormat="1" ht="15.75" customHeight="1" x14ac:dyDescent="0.15">
      <c r="B89" s="59"/>
      <c r="D89" s="130">
        <v>21</v>
      </c>
      <c r="AA89" s="28" t="s">
        <v>701</v>
      </c>
      <c r="AB89" s="31" t="s">
        <v>962</v>
      </c>
      <c r="AC89" s="247" t="s">
        <v>1435</v>
      </c>
      <c r="AD89" s="314" t="s">
        <v>110</v>
      </c>
      <c r="AE89" s="315" t="s">
        <v>1654</v>
      </c>
      <c r="AF89" s="316" t="s">
        <v>1432</v>
      </c>
      <c r="AG89" s="248" t="s">
        <v>1655</v>
      </c>
      <c r="AH89" s="248" t="s">
        <v>1656</v>
      </c>
      <c r="AI89" s="248" t="s">
        <v>100</v>
      </c>
      <c r="AJ89" s="317">
        <v>0.36666666681412602</v>
      </c>
      <c r="AK89" s="315" t="s">
        <v>1657</v>
      </c>
      <c r="AL89" s="315">
        <v>0</v>
      </c>
      <c r="AM89" s="315">
        <v>0</v>
      </c>
      <c r="AN89" s="42">
        <f t="shared" si="1"/>
        <v>1</v>
      </c>
      <c r="AO89" s="318">
        <v>0</v>
      </c>
      <c r="AP89" s="318">
        <v>0</v>
      </c>
      <c r="AQ89" s="318">
        <v>1</v>
      </c>
      <c r="AR89" s="318">
        <v>0</v>
      </c>
      <c r="AS89" s="318">
        <v>0</v>
      </c>
      <c r="AT89" s="318">
        <v>1</v>
      </c>
      <c r="AU89" s="42">
        <f t="shared" si="2"/>
        <v>0</v>
      </c>
      <c r="AV89" s="318">
        <v>0</v>
      </c>
      <c r="AW89" s="318">
        <v>100</v>
      </c>
      <c r="AX89" s="315"/>
      <c r="AY89" s="636"/>
      <c r="AZ89" s="319"/>
      <c r="BA89" s="319"/>
      <c r="BB89" s="318">
        <v>1</v>
      </c>
      <c r="BC89" s="9"/>
      <c r="BD89" s="9"/>
      <c r="BE89" s="50">
        <f t="shared" si="3"/>
        <v>0</v>
      </c>
      <c r="BF89" s="50">
        <f t="shared" si="4"/>
        <v>0</v>
      </c>
      <c r="BG89" s="50">
        <f t="shared" si="5"/>
        <v>0.36666666681412602</v>
      </c>
      <c r="BH89" s="50">
        <f t="shared" si="6"/>
        <v>1</v>
      </c>
      <c r="BI89" s="50">
        <f t="shared" si="7"/>
        <v>0</v>
      </c>
      <c r="BJ89" s="50">
        <f t="shared" si="8"/>
        <v>0</v>
      </c>
      <c r="BK89" s="50">
        <f t="shared" si="9"/>
        <v>0</v>
      </c>
      <c r="BL89" s="50">
        <f t="shared" si="10"/>
        <v>0</v>
      </c>
      <c r="BM89" s="50">
        <f t="shared" si="11"/>
        <v>0.36666666681412602</v>
      </c>
      <c r="BN89" s="50">
        <f t="shared" si="12"/>
        <v>1</v>
      </c>
      <c r="BO89" s="50">
        <f t="shared" si="13"/>
        <v>0</v>
      </c>
      <c r="BP89" s="50">
        <f t="shared" si="14"/>
        <v>0</v>
      </c>
      <c r="BQ89" s="4" t="str">
        <f t="shared" si="15"/>
        <v>17,20 2025.04.11</v>
      </c>
      <c r="BR89" s="4" t="str">
        <f t="shared" si="16"/>
        <v>17,42 2025.04.11</v>
      </c>
      <c r="BS89" s="4" t="str">
        <f t="shared" si="17"/>
        <v>П</v>
      </c>
      <c r="BT89" s="10">
        <f t="shared" si="18"/>
        <v>0.36666666681412602</v>
      </c>
      <c r="BU89" s="42">
        <f t="shared" si="19"/>
        <v>1</v>
      </c>
      <c r="BV89" s="11">
        <f t="shared" si="20"/>
        <v>0</v>
      </c>
      <c r="BW89" s="11">
        <f t="shared" si="21"/>
        <v>0</v>
      </c>
      <c r="BX89" s="11">
        <f t="shared" si="22"/>
        <v>1</v>
      </c>
      <c r="BY89" s="11">
        <f t="shared" si="23"/>
        <v>0</v>
      </c>
      <c r="BZ89" s="11">
        <f t="shared" si="24"/>
        <v>0</v>
      </c>
      <c r="CA89" s="11">
        <f t="shared" si="25"/>
        <v>1</v>
      </c>
      <c r="CB89" s="42">
        <f t="shared" si="26"/>
        <v>0</v>
      </c>
      <c r="CC89" s="11">
        <f t="shared" si="27"/>
        <v>0</v>
      </c>
      <c r="CD89" s="11">
        <f t="shared" si="28"/>
        <v>1</v>
      </c>
      <c r="CE89" s="4"/>
      <c r="CF89" s="50">
        <f t="shared" si="29"/>
        <v>0</v>
      </c>
      <c r="CG89" s="50">
        <f t="shared" si="30"/>
        <v>0</v>
      </c>
      <c r="CH89" s="50">
        <f t="shared" si="31"/>
        <v>0.36666666681412602</v>
      </c>
      <c r="CI89" s="50">
        <f t="shared" si="32"/>
        <v>1</v>
      </c>
      <c r="CJ89" s="50">
        <f t="shared" si="33"/>
        <v>0</v>
      </c>
      <c r="CK89" s="50">
        <f t="shared" si="34"/>
        <v>0</v>
      </c>
      <c r="CL89" s="50">
        <f t="shared" si="35"/>
        <v>0</v>
      </c>
      <c r="CM89" s="50">
        <f t="shared" si="36"/>
        <v>0</v>
      </c>
      <c r="CN89" s="50">
        <f t="shared" si="37"/>
        <v>0.36666666681412602</v>
      </c>
      <c r="CO89" s="50">
        <f t="shared" si="38"/>
        <v>1</v>
      </c>
      <c r="CP89" s="50">
        <f t="shared" si="39"/>
        <v>0</v>
      </c>
      <c r="CQ89" s="50">
        <f t="shared" si="40"/>
        <v>0</v>
      </c>
      <c r="CR89"/>
    </row>
    <row r="90" spans="2:96" s="379" customFormat="1" ht="15.75" customHeight="1" x14ac:dyDescent="0.15">
      <c r="B90" s="59"/>
      <c r="D90" s="130">
        <v>21</v>
      </c>
      <c r="AA90" s="28" t="s">
        <v>701</v>
      </c>
      <c r="AB90" s="31" t="s">
        <v>963</v>
      </c>
      <c r="AC90" s="247" t="s">
        <v>1445</v>
      </c>
      <c r="AD90" s="314" t="s">
        <v>110</v>
      </c>
      <c r="AE90" s="315" t="s">
        <v>1476</v>
      </c>
      <c r="AF90" s="316" t="s">
        <v>1432</v>
      </c>
      <c r="AG90" s="248" t="s">
        <v>1658</v>
      </c>
      <c r="AH90" s="248" t="s">
        <v>1659</v>
      </c>
      <c r="AI90" s="248" t="s">
        <v>100</v>
      </c>
      <c r="AJ90" s="317">
        <v>6.5500000000465697</v>
      </c>
      <c r="AK90" s="315" t="s">
        <v>1478</v>
      </c>
      <c r="AL90" s="315">
        <v>0</v>
      </c>
      <c r="AM90" s="315">
        <v>0</v>
      </c>
      <c r="AN90" s="42">
        <f t="shared" si="1"/>
        <v>1</v>
      </c>
      <c r="AO90" s="318">
        <v>0</v>
      </c>
      <c r="AP90" s="318">
        <v>0</v>
      </c>
      <c r="AQ90" s="318">
        <v>1</v>
      </c>
      <c r="AR90" s="318">
        <v>0</v>
      </c>
      <c r="AS90" s="318">
        <v>0</v>
      </c>
      <c r="AT90" s="318">
        <v>1</v>
      </c>
      <c r="AU90" s="42">
        <f t="shared" si="2"/>
        <v>0</v>
      </c>
      <c r="AV90" s="318">
        <v>0</v>
      </c>
      <c r="AW90" s="318">
        <v>470</v>
      </c>
      <c r="AX90" s="315"/>
      <c r="AY90" s="636"/>
      <c r="AZ90" s="319"/>
      <c r="BA90" s="319"/>
      <c r="BB90" s="318">
        <v>1</v>
      </c>
      <c r="BC90" s="9"/>
      <c r="BD90" s="9"/>
      <c r="BE90" s="50">
        <f t="shared" si="3"/>
        <v>0</v>
      </c>
      <c r="BF90" s="50">
        <f t="shared" si="4"/>
        <v>0</v>
      </c>
      <c r="BG90" s="50">
        <f t="shared" si="5"/>
        <v>6.5500000000465697</v>
      </c>
      <c r="BH90" s="50">
        <f t="shared" si="6"/>
        <v>1</v>
      </c>
      <c r="BI90" s="50">
        <f t="shared" si="7"/>
        <v>0</v>
      </c>
      <c r="BJ90" s="50">
        <f t="shared" si="8"/>
        <v>0</v>
      </c>
      <c r="BK90" s="50">
        <f t="shared" si="9"/>
        <v>0</v>
      </c>
      <c r="BL90" s="50">
        <f t="shared" si="10"/>
        <v>0</v>
      </c>
      <c r="BM90" s="50">
        <f t="shared" si="11"/>
        <v>6.5500000000465697</v>
      </c>
      <c r="BN90" s="50">
        <f t="shared" si="12"/>
        <v>1</v>
      </c>
      <c r="BO90" s="50">
        <f t="shared" si="13"/>
        <v>0</v>
      </c>
      <c r="BP90" s="50">
        <f t="shared" si="14"/>
        <v>0</v>
      </c>
      <c r="BQ90" s="4" t="str">
        <f t="shared" si="15"/>
        <v>11,07 2025.04.14</v>
      </c>
      <c r="BR90" s="4" t="str">
        <f t="shared" si="16"/>
        <v>17,40 2025.04.14</v>
      </c>
      <c r="BS90" s="4" t="str">
        <f t="shared" si="17"/>
        <v>П</v>
      </c>
      <c r="BT90" s="10">
        <f t="shared" si="18"/>
        <v>6.5500000000465697</v>
      </c>
      <c r="BU90" s="42">
        <f t="shared" si="19"/>
        <v>1</v>
      </c>
      <c r="BV90" s="11">
        <f t="shared" si="20"/>
        <v>0</v>
      </c>
      <c r="BW90" s="11">
        <f t="shared" si="21"/>
        <v>0</v>
      </c>
      <c r="BX90" s="11">
        <f t="shared" si="22"/>
        <v>1</v>
      </c>
      <c r="BY90" s="11">
        <f t="shared" si="23"/>
        <v>0</v>
      </c>
      <c r="BZ90" s="11">
        <f t="shared" si="24"/>
        <v>0</v>
      </c>
      <c r="CA90" s="11">
        <f t="shared" si="25"/>
        <v>1</v>
      </c>
      <c r="CB90" s="42">
        <f t="shared" si="26"/>
        <v>0</v>
      </c>
      <c r="CC90" s="11">
        <f t="shared" si="27"/>
        <v>0</v>
      </c>
      <c r="CD90" s="11">
        <f t="shared" si="28"/>
        <v>1</v>
      </c>
      <c r="CE90" s="4"/>
      <c r="CF90" s="50">
        <f t="shared" si="29"/>
        <v>0</v>
      </c>
      <c r="CG90" s="50">
        <f t="shared" si="30"/>
        <v>0</v>
      </c>
      <c r="CH90" s="50">
        <f t="shared" si="31"/>
        <v>6.5500000000465697</v>
      </c>
      <c r="CI90" s="50">
        <f t="shared" si="32"/>
        <v>1</v>
      </c>
      <c r="CJ90" s="50">
        <f t="shared" si="33"/>
        <v>0</v>
      </c>
      <c r="CK90" s="50">
        <f t="shared" si="34"/>
        <v>0</v>
      </c>
      <c r="CL90" s="50">
        <f t="shared" si="35"/>
        <v>0</v>
      </c>
      <c r="CM90" s="50">
        <f t="shared" si="36"/>
        <v>0</v>
      </c>
      <c r="CN90" s="50">
        <f t="shared" si="37"/>
        <v>6.5500000000465697</v>
      </c>
      <c r="CO90" s="50">
        <f t="shared" si="38"/>
        <v>1</v>
      </c>
      <c r="CP90" s="50">
        <f t="shared" si="39"/>
        <v>0</v>
      </c>
      <c r="CQ90" s="50">
        <f t="shared" si="40"/>
        <v>0</v>
      </c>
      <c r="CR90"/>
    </row>
    <row r="91" spans="2:96" s="380" customFormat="1" ht="15.75" customHeight="1" x14ac:dyDescent="0.15">
      <c r="B91" s="59"/>
      <c r="D91" s="130">
        <v>21</v>
      </c>
      <c r="AA91" s="28" t="s">
        <v>701</v>
      </c>
      <c r="AB91" s="31" t="s">
        <v>964</v>
      </c>
      <c r="AC91" s="247" t="s">
        <v>1440</v>
      </c>
      <c r="AD91" s="314" t="s">
        <v>110</v>
      </c>
      <c r="AE91" s="315" t="s">
        <v>1660</v>
      </c>
      <c r="AF91" s="316" t="s">
        <v>1432</v>
      </c>
      <c r="AG91" s="248" t="s">
        <v>1661</v>
      </c>
      <c r="AH91" s="248" t="s">
        <v>1662</v>
      </c>
      <c r="AI91" s="248" t="s">
        <v>100</v>
      </c>
      <c r="AJ91" s="317">
        <v>0.78333333326736498</v>
      </c>
      <c r="AK91" s="315" t="s">
        <v>1663</v>
      </c>
      <c r="AL91" s="315">
        <v>0</v>
      </c>
      <c r="AM91" s="315">
        <v>0</v>
      </c>
      <c r="AN91" s="42">
        <f t="shared" si="1"/>
        <v>1</v>
      </c>
      <c r="AO91" s="318">
        <v>0</v>
      </c>
      <c r="AP91" s="318">
        <v>0</v>
      </c>
      <c r="AQ91" s="318">
        <v>1</v>
      </c>
      <c r="AR91" s="318">
        <v>0</v>
      </c>
      <c r="AS91" s="318">
        <v>0</v>
      </c>
      <c r="AT91" s="318">
        <v>1</v>
      </c>
      <c r="AU91" s="42">
        <f t="shared" si="2"/>
        <v>0</v>
      </c>
      <c r="AV91" s="318">
        <v>0</v>
      </c>
      <c r="AW91" s="318">
        <v>560</v>
      </c>
      <c r="AX91" s="315"/>
      <c r="AY91" s="636"/>
      <c r="AZ91" s="319"/>
      <c r="BA91" s="319"/>
      <c r="BB91" s="318">
        <v>1</v>
      </c>
      <c r="BC91" s="9"/>
      <c r="BD91" s="9"/>
      <c r="BE91" s="50">
        <f t="shared" si="3"/>
        <v>0</v>
      </c>
      <c r="BF91" s="50">
        <f t="shared" si="4"/>
        <v>0</v>
      </c>
      <c r="BG91" s="50">
        <f t="shared" si="5"/>
        <v>0.78333333326736498</v>
      </c>
      <c r="BH91" s="50">
        <f t="shared" si="6"/>
        <v>1</v>
      </c>
      <c r="BI91" s="50">
        <f t="shared" si="7"/>
        <v>0</v>
      </c>
      <c r="BJ91" s="50">
        <f t="shared" si="8"/>
        <v>0</v>
      </c>
      <c r="BK91" s="50">
        <f t="shared" si="9"/>
        <v>0</v>
      </c>
      <c r="BL91" s="50">
        <f t="shared" si="10"/>
        <v>0</v>
      </c>
      <c r="BM91" s="50">
        <f t="shared" si="11"/>
        <v>0.78333333326736498</v>
      </c>
      <c r="BN91" s="50">
        <f t="shared" si="12"/>
        <v>1</v>
      </c>
      <c r="BO91" s="50">
        <f t="shared" si="13"/>
        <v>0</v>
      </c>
      <c r="BP91" s="50">
        <f t="shared" si="14"/>
        <v>0</v>
      </c>
      <c r="BQ91" s="4" t="str">
        <f t="shared" si="15"/>
        <v>11,42 2025.04.14</v>
      </c>
      <c r="BR91" s="4" t="str">
        <f t="shared" si="16"/>
        <v>12,29 2025.04.14</v>
      </c>
      <c r="BS91" s="4" t="str">
        <f t="shared" si="17"/>
        <v>П</v>
      </c>
      <c r="BT91" s="10">
        <f t="shared" si="18"/>
        <v>0.78333333326736498</v>
      </c>
      <c r="BU91" s="42">
        <f t="shared" si="19"/>
        <v>1</v>
      </c>
      <c r="BV91" s="11">
        <f t="shared" si="20"/>
        <v>0</v>
      </c>
      <c r="BW91" s="11">
        <f t="shared" si="21"/>
        <v>0</v>
      </c>
      <c r="BX91" s="11">
        <f t="shared" si="22"/>
        <v>1</v>
      </c>
      <c r="BY91" s="11">
        <f t="shared" si="23"/>
        <v>0</v>
      </c>
      <c r="BZ91" s="11">
        <f t="shared" si="24"/>
        <v>0</v>
      </c>
      <c r="CA91" s="11">
        <f t="shared" si="25"/>
        <v>1</v>
      </c>
      <c r="CB91" s="42">
        <f t="shared" si="26"/>
        <v>0</v>
      </c>
      <c r="CC91" s="11">
        <f t="shared" si="27"/>
        <v>0</v>
      </c>
      <c r="CD91" s="11">
        <f t="shared" si="28"/>
        <v>1</v>
      </c>
      <c r="CE91" s="4"/>
      <c r="CF91" s="50">
        <f t="shared" si="29"/>
        <v>0</v>
      </c>
      <c r="CG91" s="50">
        <f t="shared" si="30"/>
        <v>0</v>
      </c>
      <c r="CH91" s="50">
        <f t="shared" si="31"/>
        <v>0.78333333326736498</v>
      </c>
      <c r="CI91" s="50">
        <f t="shared" si="32"/>
        <v>1</v>
      </c>
      <c r="CJ91" s="50">
        <f t="shared" si="33"/>
        <v>0</v>
      </c>
      <c r="CK91" s="50">
        <f t="shared" si="34"/>
        <v>0</v>
      </c>
      <c r="CL91" s="50">
        <f t="shared" si="35"/>
        <v>0</v>
      </c>
      <c r="CM91" s="50">
        <f t="shared" si="36"/>
        <v>0</v>
      </c>
      <c r="CN91" s="50">
        <f t="shared" si="37"/>
        <v>0.78333333326736498</v>
      </c>
      <c r="CO91" s="50">
        <f t="shared" si="38"/>
        <v>1</v>
      </c>
      <c r="CP91" s="50">
        <f t="shared" si="39"/>
        <v>0</v>
      </c>
      <c r="CQ91" s="50">
        <f t="shared" si="40"/>
        <v>0</v>
      </c>
      <c r="CR91"/>
    </row>
    <row r="92" spans="2:96" s="381" customFormat="1" ht="15.75" customHeight="1" x14ac:dyDescent="0.15">
      <c r="B92" s="59"/>
      <c r="D92" s="130">
        <v>21</v>
      </c>
      <c r="AA92" s="28" t="s">
        <v>701</v>
      </c>
      <c r="AB92" s="31" t="s">
        <v>965</v>
      </c>
      <c r="AC92" s="247" t="s">
        <v>1440</v>
      </c>
      <c r="AD92" s="314" t="s">
        <v>110</v>
      </c>
      <c r="AE92" s="315" t="s">
        <v>1664</v>
      </c>
      <c r="AF92" s="316" t="s">
        <v>1432</v>
      </c>
      <c r="AG92" s="248" t="s">
        <v>1665</v>
      </c>
      <c r="AH92" s="248" t="s">
        <v>1666</v>
      </c>
      <c r="AI92" s="248" t="s">
        <v>100</v>
      </c>
      <c r="AJ92" s="317">
        <v>5.6000000000931296</v>
      </c>
      <c r="AK92" s="315" t="s">
        <v>1667</v>
      </c>
      <c r="AL92" s="315">
        <v>0</v>
      </c>
      <c r="AM92" s="315">
        <v>0</v>
      </c>
      <c r="AN92" s="42">
        <f t="shared" si="1"/>
        <v>1</v>
      </c>
      <c r="AO92" s="318">
        <v>0</v>
      </c>
      <c r="AP92" s="318">
        <v>0</v>
      </c>
      <c r="AQ92" s="318">
        <v>1</v>
      </c>
      <c r="AR92" s="318">
        <v>0</v>
      </c>
      <c r="AS92" s="318">
        <v>0</v>
      </c>
      <c r="AT92" s="318">
        <v>1</v>
      </c>
      <c r="AU92" s="42">
        <f t="shared" si="2"/>
        <v>0</v>
      </c>
      <c r="AV92" s="318">
        <v>0</v>
      </c>
      <c r="AW92" s="318">
        <v>420</v>
      </c>
      <c r="AX92" s="315"/>
      <c r="AY92" s="636"/>
      <c r="AZ92" s="319"/>
      <c r="BA92" s="319"/>
      <c r="BB92" s="318">
        <v>1</v>
      </c>
      <c r="BC92" s="9"/>
      <c r="BD92" s="9"/>
      <c r="BE92" s="50">
        <f t="shared" si="3"/>
        <v>0</v>
      </c>
      <c r="BF92" s="50">
        <f t="shared" si="4"/>
        <v>0</v>
      </c>
      <c r="BG92" s="50">
        <f t="shared" si="5"/>
        <v>5.6000000000931296</v>
      </c>
      <c r="BH92" s="50">
        <f t="shared" si="6"/>
        <v>1</v>
      </c>
      <c r="BI92" s="50">
        <f t="shared" si="7"/>
        <v>0</v>
      </c>
      <c r="BJ92" s="50">
        <f t="shared" si="8"/>
        <v>0</v>
      </c>
      <c r="BK92" s="50">
        <f t="shared" si="9"/>
        <v>0</v>
      </c>
      <c r="BL92" s="50">
        <f t="shared" si="10"/>
        <v>0</v>
      </c>
      <c r="BM92" s="50">
        <f t="shared" si="11"/>
        <v>5.6000000000931296</v>
      </c>
      <c r="BN92" s="50">
        <f t="shared" si="12"/>
        <v>1</v>
      </c>
      <c r="BO92" s="50">
        <f t="shared" si="13"/>
        <v>0</v>
      </c>
      <c r="BP92" s="50">
        <f t="shared" si="14"/>
        <v>0</v>
      </c>
      <c r="BQ92" s="4" t="str">
        <f t="shared" si="15"/>
        <v>10,42 2025.04.15</v>
      </c>
      <c r="BR92" s="4" t="str">
        <f t="shared" si="16"/>
        <v>16,18 2025.04.15</v>
      </c>
      <c r="BS92" s="4" t="str">
        <f t="shared" si="17"/>
        <v>П</v>
      </c>
      <c r="BT92" s="10">
        <f t="shared" si="18"/>
        <v>5.6000000000931296</v>
      </c>
      <c r="BU92" s="42">
        <f t="shared" si="19"/>
        <v>1</v>
      </c>
      <c r="BV92" s="11">
        <f t="shared" si="20"/>
        <v>0</v>
      </c>
      <c r="BW92" s="11">
        <f t="shared" si="21"/>
        <v>0</v>
      </c>
      <c r="BX92" s="11">
        <f t="shared" si="22"/>
        <v>1</v>
      </c>
      <c r="BY92" s="11">
        <f t="shared" si="23"/>
        <v>0</v>
      </c>
      <c r="BZ92" s="11">
        <f t="shared" si="24"/>
        <v>0</v>
      </c>
      <c r="CA92" s="11">
        <f t="shared" si="25"/>
        <v>1</v>
      </c>
      <c r="CB92" s="42">
        <f t="shared" si="26"/>
        <v>0</v>
      </c>
      <c r="CC92" s="11">
        <f t="shared" si="27"/>
        <v>0</v>
      </c>
      <c r="CD92" s="11">
        <f t="shared" si="28"/>
        <v>1</v>
      </c>
      <c r="CE92" s="4"/>
      <c r="CF92" s="50">
        <f t="shared" si="29"/>
        <v>0</v>
      </c>
      <c r="CG92" s="50">
        <f t="shared" si="30"/>
        <v>0</v>
      </c>
      <c r="CH92" s="50">
        <f t="shared" si="31"/>
        <v>5.6000000000931296</v>
      </c>
      <c r="CI92" s="50">
        <f t="shared" si="32"/>
        <v>1</v>
      </c>
      <c r="CJ92" s="50">
        <f t="shared" si="33"/>
        <v>0</v>
      </c>
      <c r="CK92" s="50">
        <f t="shared" si="34"/>
        <v>0</v>
      </c>
      <c r="CL92" s="50">
        <f t="shared" si="35"/>
        <v>0</v>
      </c>
      <c r="CM92" s="50">
        <f t="shared" si="36"/>
        <v>0</v>
      </c>
      <c r="CN92" s="50">
        <f t="shared" si="37"/>
        <v>5.6000000000931296</v>
      </c>
      <c r="CO92" s="50">
        <f t="shared" si="38"/>
        <v>1</v>
      </c>
      <c r="CP92" s="50">
        <f t="shared" si="39"/>
        <v>0</v>
      </c>
      <c r="CQ92" s="50">
        <f t="shared" si="40"/>
        <v>0</v>
      </c>
      <c r="CR92"/>
    </row>
    <row r="93" spans="2:96" s="382" customFormat="1" ht="15.75" customHeight="1" x14ac:dyDescent="0.15">
      <c r="B93" s="59"/>
      <c r="D93" s="130">
        <v>21</v>
      </c>
      <c r="AA93" s="28" t="s">
        <v>701</v>
      </c>
      <c r="AB93" s="31" t="s">
        <v>966</v>
      </c>
      <c r="AC93" s="247" t="s">
        <v>1445</v>
      </c>
      <c r="AD93" s="314" t="s">
        <v>110</v>
      </c>
      <c r="AE93" s="315" t="s">
        <v>1522</v>
      </c>
      <c r="AF93" s="316" t="s">
        <v>1432</v>
      </c>
      <c r="AG93" s="248" t="s">
        <v>1668</v>
      </c>
      <c r="AH93" s="248" t="s">
        <v>1669</v>
      </c>
      <c r="AI93" s="248" t="s">
        <v>100</v>
      </c>
      <c r="AJ93" s="317">
        <v>2.2833333334419899</v>
      </c>
      <c r="AK93" s="315" t="s">
        <v>1525</v>
      </c>
      <c r="AL93" s="315">
        <v>0</v>
      </c>
      <c r="AM93" s="315">
        <v>0</v>
      </c>
      <c r="AN93" s="42">
        <f t="shared" ref="AN93:AN156" si="41">AO93+AP93+AQ93+AV93</f>
        <v>1</v>
      </c>
      <c r="AO93" s="318">
        <v>0</v>
      </c>
      <c r="AP93" s="318">
        <v>0</v>
      </c>
      <c r="AQ93" s="318">
        <v>1</v>
      </c>
      <c r="AR93" s="318">
        <v>0</v>
      </c>
      <c r="AS93" s="318">
        <v>0</v>
      </c>
      <c r="AT93" s="318">
        <v>1</v>
      </c>
      <c r="AU93" s="42">
        <f t="shared" ref="AU93:AU156" si="42">AN93-AR93-AS93-AT93-AV93</f>
        <v>0</v>
      </c>
      <c r="AV93" s="318">
        <v>0</v>
      </c>
      <c r="AW93" s="318">
        <v>850</v>
      </c>
      <c r="AX93" s="315"/>
      <c r="AY93" s="636"/>
      <c r="AZ93" s="319"/>
      <c r="BA93" s="319"/>
      <c r="BB93" s="318">
        <v>1</v>
      </c>
      <c r="BC93" s="9"/>
      <c r="BD93" s="9"/>
      <c r="BE93" s="50">
        <f t="shared" ref="BE93:BE156" si="43">IF(AND(AI93="В",BB93="1"),SUMPRODUCT(AN93,AJ93),0)</f>
        <v>0</v>
      </c>
      <c r="BF93" s="50">
        <f t="shared" ref="BF93:BF156" si="44">IF(AND(AI93="В",BB93="1"),AN93,0)</f>
        <v>0</v>
      </c>
      <c r="BG93" s="50">
        <f t="shared" ref="BG93:BG156" si="45">IF(AI93="П",SUMPRODUCT(AN93,AJ93),0)</f>
        <v>2.2833333334419899</v>
      </c>
      <c r="BH93" s="50">
        <f t="shared" ref="BH93:BH156" si="46">IF(AI93="П",AN93,0)</f>
        <v>1</v>
      </c>
      <c r="BI93" s="50">
        <f t="shared" ref="BI93:BI156" si="47">IF(AI93="П",SUMPRODUCT(AR93,AJ93),0)</f>
        <v>0</v>
      </c>
      <c r="BJ93" s="50">
        <f t="shared" ref="BJ93:BJ156" si="48">IF(AI93="П",AR93,0)</f>
        <v>0</v>
      </c>
      <c r="BK93" s="50">
        <f t="shared" ref="BK93:BK156" si="49">IF(AI93="П",SUMPRODUCT(AS93,AJ93),0)</f>
        <v>0</v>
      </c>
      <c r="BL93" s="50">
        <f t="shared" ref="BL93:BL156" si="50">IF(AI93="П",AS93,0)</f>
        <v>0</v>
      </c>
      <c r="BM93" s="50">
        <f t="shared" ref="BM93:BM156" si="51">IF(AI93="П",SUMPRODUCT(AT93,AJ93),0)</f>
        <v>2.2833333334419899</v>
      </c>
      <c r="BN93" s="50">
        <f t="shared" ref="BN93:BN156" si="52">IF(AI93="П",AT93,0)</f>
        <v>1</v>
      </c>
      <c r="BO93" s="50">
        <f t="shared" ref="BO93:BO156" si="53">IF(AI93="П",SUMPRODUCT(AU93,AJ93),0)</f>
        <v>0</v>
      </c>
      <c r="BP93" s="50">
        <f t="shared" ref="BP93:BP156" si="54">IF(AI93="П",AU93,0)</f>
        <v>0</v>
      </c>
      <c r="BQ93" s="4" t="str">
        <f t="shared" ref="BQ93:BQ156" si="55">AG93</f>
        <v>10,23 2025.04.16</v>
      </c>
      <c r="BR93" s="4" t="str">
        <f t="shared" ref="BR93:BR156" si="56">AH93</f>
        <v>12,40 2025.04.16</v>
      </c>
      <c r="BS93" s="4" t="str">
        <f t="shared" ref="BS93:BS156" si="57">AI93</f>
        <v>П</v>
      </c>
      <c r="BT93" s="10">
        <f t="shared" ref="BT93:BT156" si="58">AJ93</f>
        <v>2.2833333334419899</v>
      </c>
      <c r="BU93" s="42">
        <f t="shared" ref="BU93:BU156" si="59">BV93+BW93+BX93+CC93</f>
        <v>1</v>
      </c>
      <c r="BV93" s="11">
        <f t="shared" ref="BV93:BV156" si="60">AO93</f>
        <v>0</v>
      </c>
      <c r="BW93" s="11">
        <f t="shared" ref="BW93:BW156" si="61">AP93</f>
        <v>0</v>
      </c>
      <c r="BX93" s="11">
        <f t="shared" ref="BX93:BX156" si="62">AQ93</f>
        <v>1</v>
      </c>
      <c r="BY93" s="11">
        <f t="shared" ref="BY93:BY156" si="63">AR93</f>
        <v>0</v>
      </c>
      <c r="BZ93" s="11">
        <f t="shared" ref="BZ93:BZ156" si="64">AS93</f>
        <v>0</v>
      </c>
      <c r="CA93" s="11">
        <f t="shared" ref="CA93:CA156" si="65">AT93</f>
        <v>1</v>
      </c>
      <c r="CB93" s="42">
        <f t="shared" ref="CB93:CB156" si="66">BU93-BY93-BZ93-CA93-CC93</f>
        <v>0</v>
      </c>
      <c r="CC93" s="11">
        <f t="shared" ref="CC93:CC156" si="67">AV93</f>
        <v>0</v>
      </c>
      <c r="CD93" s="11">
        <f t="shared" ref="CD93:CD156" si="68">BB93</f>
        <v>1</v>
      </c>
      <c r="CE93" s="4"/>
      <c r="CF93" s="50">
        <f t="shared" ref="CF93:CF156" si="69">IF(AND(BS93="В",CD93="1"),SUMPRODUCT(BT93,BU93),0)</f>
        <v>0</v>
      </c>
      <c r="CG93" s="50">
        <f t="shared" ref="CG93:CG156" si="70">IF(AND(BS93="В",CD93="1"),BU93,0)</f>
        <v>0</v>
      </c>
      <c r="CH93" s="50">
        <f t="shared" ref="CH93:CH156" si="71">IF(BS93="П",SUMPRODUCT(BT93,BU93),0)</f>
        <v>2.2833333334419899</v>
      </c>
      <c r="CI93" s="50">
        <f t="shared" ref="CI93:CI156" si="72">IF(BS93="П",BU93,0)</f>
        <v>1</v>
      </c>
      <c r="CJ93" s="50">
        <f t="shared" ref="CJ93:CJ156" si="73">IF(BS93="П",SUMPRODUCT(BT93,BY93),0)</f>
        <v>0</v>
      </c>
      <c r="CK93" s="50">
        <f t="shared" ref="CK93:CK156" si="74">IF(BS93="П",BY93,0)</f>
        <v>0</v>
      </c>
      <c r="CL93" s="50">
        <f t="shared" ref="CL93:CL156" si="75">IF(BS93="П",SUMPRODUCT(BT93,BZ93),0)</f>
        <v>0</v>
      </c>
      <c r="CM93" s="50">
        <f t="shared" ref="CM93:CM156" si="76">IF(BS93="П",BZ93,0)</f>
        <v>0</v>
      </c>
      <c r="CN93" s="50">
        <f t="shared" ref="CN93:CN156" si="77">IF(BS93="П",SUMPRODUCT(BT93,CA93),0)</f>
        <v>2.2833333334419899</v>
      </c>
      <c r="CO93" s="50">
        <f t="shared" ref="CO93:CO156" si="78">IF(BS93="П",CA93,0)</f>
        <v>1</v>
      </c>
      <c r="CP93" s="50">
        <f t="shared" ref="CP93:CP156" si="79">IF(BS93="П",SUMPRODUCT(BT93,CB93),0)</f>
        <v>0</v>
      </c>
      <c r="CQ93" s="50">
        <f t="shared" ref="CQ93:CQ156" si="80">IF(BS93="П",CB93,0)</f>
        <v>0</v>
      </c>
      <c r="CR93"/>
    </row>
    <row r="94" spans="2:96" s="383" customFormat="1" ht="15.75" customHeight="1" x14ac:dyDescent="0.15">
      <c r="B94" s="59"/>
      <c r="D94" s="130">
        <v>21</v>
      </c>
      <c r="AA94" s="28" t="s">
        <v>701</v>
      </c>
      <c r="AB94" s="31" t="s">
        <v>967</v>
      </c>
      <c r="AC94" s="247" t="s">
        <v>1469</v>
      </c>
      <c r="AD94" s="314" t="s">
        <v>110</v>
      </c>
      <c r="AE94" s="315" t="s">
        <v>1670</v>
      </c>
      <c r="AF94" s="316" t="s">
        <v>1495</v>
      </c>
      <c r="AG94" s="248" t="s">
        <v>1671</v>
      </c>
      <c r="AH94" s="248" t="s">
        <v>1671</v>
      </c>
      <c r="AI94" s="248" t="s">
        <v>122</v>
      </c>
      <c r="AJ94" s="317">
        <v>0</v>
      </c>
      <c r="AK94" s="315" t="s">
        <v>1670</v>
      </c>
      <c r="AL94" s="315">
        <v>0</v>
      </c>
      <c r="AM94" s="315">
        <v>0</v>
      </c>
      <c r="AN94" s="42">
        <f t="shared" si="41"/>
        <v>1</v>
      </c>
      <c r="AO94" s="318">
        <v>0</v>
      </c>
      <c r="AP94" s="318">
        <v>0</v>
      </c>
      <c r="AQ94" s="318">
        <v>1</v>
      </c>
      <c r="AR94" s="318">
        <v>0</v>
      </c>
      <c r="AS94" s="318">
        <v>0</v>
      </c>
      <c r="AT94" s="318">
        <v>1</v>
      </c>
      <c r="AU94" s="42">
        <f t="shared" si="42"/>
        <v>0</v>
      </c>
      <c r="AV94" s="318">
        <v>0</v>
      </c>
      <c r="AW94" s="318">
        <v>1273</v>
      </c>
      <c r="AX94" s="315"/>
      <c r="AY94" s="636" t="s">
        <v>2054</v>
      </c>
      <c r="AZ94" s="319" t="s">
        <v>199</v>
      </c>
      <c r="BA94" s="319" t="s">
        <v>2041</v>
      </c>
      <c r="BB94" s="318">
        <v>0</v>
      </c>
      <c r="BC94" s="9"/>
      <c r="BD94" s="9"/>
      <c r="BE94" s="50">
        <f t="shared" si="43"/>
        <v>0</v>
      </c>
      <c r="BF94" s="50">
        <f t="shared" si="44"/>
        <v>0</v>
      </c>
      <c r="BG94" s="50">
        <f t="shared" si="45"/>
        <v>0</v>
      </c>
      <c r="BH94" s="50">
        <f t="shared" si="46"/>
        <v>0</v>
      </c>
      <c r="BI94" s="50">
        <f t="shared" si="47"/>
        <v>0</v>
      </c>
      <c r="BJ94" s="50">
        <f t="shared" si="48"/>
        <v>0</v>
      </c>
      <c r="BK94" s="50">
        <f t="shared" si="49"/>
        <v>0</v>
      </c>
      <c r="BL94" s="50">
        <f t="shared" si="50"/>
        <v>0</v>
      </c>
      <c r="BM94" s="50">
        <f t="shared" si="51"/>
        <v>0</v>
      </c>
      <c r="BN94" s="50">
        <f t="shared" si="52"/>
        <v>0</v>
      </c>
      <c r="BO94" s="50">
        <f t="shared" si="53"/>
        <v>0</v>
      </c>
      <c r="BP94" s="50">
        <f t="shared" si="54"/>
        <v>0</v>
      </c>
      <c r="BQ94" s="4" t="str">
        <f t="shared" si="55"/>
        <v>23,51 2025.04.22</v>
      </c>
      <c r="BR94" s="4" t="str">
        <f t="shared" si="56"/>
        <v>23,51 2025.04.22</v>
      </c>
      <c r="BS94" s="4" t="str">
        <f t="shared" si="57"/>
        <v>В</v>
      </c>
      <c r="BT94" s="10">
        <f t="shared" si="58"/>
        <v>0</v>
      </c>
      <c r="BU94" s="42">
        <f t="shared" si="59"/>
        <v>1</v>
      </c>
      <c r="BV94" s="11">
        <f t="shared" si="60"/>
        <v>0</v>
      </c>
      <c r="BW94" s="11">
        <f t="shared" si="61"/>
        <v>0</v>
      </c>
      <c r="BX94" s="11">
        <f t="shared" si="62"/>
        <v>1</v>
      </c>
      <c r="BY94" s="11">
        <f t="shared" si="63"/>
        <v>0</v>
      </c>
      <c r="BZ94" s="11">
        <f t="shared" si="64"/>
        <v>0</v>
      </c>
      <c r="CA94" s="11">
        <f t="shared" si="65"/>
        <v>1</v>
      </c>
      <c r="CB94" s="42">
        <f t="shared" si="66"/>
        <v>0</v>
      </c>
      <c r="CC94" s="11">
        <f t="shared" si="67"/>
        <v>0</v>
      </c>
      <c r="CD94" s="11">
        <f t="shared" si="68"/>
        <v>0</v>
      </c>
      <c r="CE94" s="4"/>
      <c r="CF94" s="50">
        <f t="shared" si="69"/>
        <v>0</v>
      </c>
      <c r="CG94" s="50">
        <f t="shared" si="70"/>
        <v>0</v>
      </c>
      <c r="CH94" s="50">
        <f t="shared" si="71"/>
        <v>0</v>
      </c>
      <c r="CI94" s="50">
        <f t="shared" si="72"/>
        <v>0</v>
      </c>
      <c r="CJ94" s="50">
        <f t="shared" si="73"/>
        <v>0</v>
      </c>
      <c r="CK94" s="50">
        <f t="shared" si="74"/>
        <v>0</v>
      </c>
      <c r="CL94" s="50">
        <f t="shared" si="75"/>
        <v>0</v>
      </c>
      <c r="CM94" s="50">
        <f t="shared" si="76"/>
        <v>0</v>
      </c>
      <c r="CN94" s="50">
        <f t="shared" si="77"/>
        <v>0</v>
      </c>
      <c r="CO94" s="50">
        <f t="shared" si="78"/>
        <v>0</v>
      </c>
      <c r="CP94" s="50">
        <f t="shared" si="79"/>
        <v>0</v>
      </c>
      <c r="CQ94" s="50">
        <f t="shared" si="80"/>
        <v>0</v>
      </c>
      <c r="CR94"/>
    </row>
    <row r="95" spans="2:96" s="384" customFormat="1" ht="15.75" customHeight="1" x14ac:dyDescent="0.15">
      <c r="B95" s="59"/>
      <c r="D95" s="130">
        <v>21</v>
      </c>
      <c r="AA95" s="28" t="s">
        <v>701</v>
      </c>
      <c r="AB95" s="31" t="s">
        <v>968</v>
      </c>
      <c r="AC95" s="247" t="s">
        <v>1445</v>
      </c>
      <c r="AD95" s="314" t="s">
        <v>110</v>
      </c>
      <c r="AE95" s="315" t="s">
        <v>1672</v>
      </c>
      <c r="AF95" s="316" t="s">
        <v>1432</v>
      </c>
      <c r="AG95" s="248" t="s">
        <v>1673</v>
      </c>
      <c r="AH95" s="248" t="s">
        <v>1674</v>
      </c>
      <c r="AI95" s="248" t="s">
        <v>100</v>
      </c>
      <c r="AJ95" s="317">
        <v>1.56666666653473</v>
      </c>
      <c r="AK95" s="315" t="s">
        <v>1675</v>
      </c>
      <c r="AL95" s="315">
        <v>0</v>
      </c>
      <c r="AM95" s="315">
        <v>0</v>
      </c>
      <c r="AN95" s="42">
        <f t="shared" si="41"/>
        <v>1</v>
      </c>
      <c r="AO95" s="318">
        <v>0</v>
      </c>
      <c r="AP95" s="318">
        <v>0</v>
      </c>
      <c r="AQ95" s="318">
        <v>1</v>
      </c>
      <c r="AR95" s="318">
        <v>0</v>
      </c>
      <c r="AS95" s="318">
        <v>0</v>
      </c>
      <c r="AT95" s="318">
        <v>1</v>
      </c>
      <c r="AU95" s="42">
        <f t="shared" si="42"/>
        <v>0</v>
      </c>
      <c r="AV95" s="318">
        <v>0</v>
      </c>
      <c r="AW95" s="318">
        <v>70</v>
      </c>
      <c r="AX95" s="315"/>
      <c r="AY95" s="636"/>
      <c r="AZ95" s="319"/>
      <c r="BA95" s="319"/>
      <c r="BB95" s="318">
        <v>1</v>
      </c>
      <c r="BC95" s="9"/>
      <c r="BD95" s="9"/>
      <c r="BE95" s="50">
        <f t="shared" si="43"/>
        <v>0</v>
      </c>
      <c r="BF95" s="50">
        <f t="shared" si="44"/>
        <v>0</v>
      </c>
      <c r="BG95" s="50">
        <f t="shared" si="45"/>
        <v>1.56666666653473</v>
      </c>
      <c r="BH95" s="50">
        <f t="shared" si="46"/>
        <v>1</v>
      </c>
      <c r="BI95" s="50">
        <f t="shared" si="47"/>
        <v>0</v>
      </c>
      <c r="BJ95" s="50">
        <f t="shared" si="48"/>
        <v>0</v>
      </c>
      <c r="BK95" s="50">
        <f t="shared" si="49"/>
        <v>0</v>
      </c>
      <c r="BL95" s="50">
        <f t="shared" si="50"/>
        <v>0</v>
      </c>
      <c r="BM95" s="50">
        <f t="shared" si="51"/>
        <v>1.56666666653473</v>
      </c>
      <c r="BN95" s="50">
        <f t="shared" si="52"/>
        <v>1</v>
      </c>
      <c r="BO95" s="50">
        <f t="shared" si="53"/>
        <v>0</v>
      </c>
      <c r="BP95" s="50">
        <f t="shared" si="54"/>
        <v>0</v>
      </c>
      <c r="BQ95" s="4" t="str">
        <f t="shared" si="55"/>
        <v>17,48 2025.04.24</v>
      </c>
      <c r="BR95" s="4" t="str">
        <f t="shared" si="56"/>
        <v>19,22 2025.04.24</v>
      </c>
      <c r="BS95" s="4" t="str">
        <f t="shared" si="57"/>
        <v>П</v>
      </c>
      <c r="BT95" s="10">
        <f t="shared" si="58"/>
        <v>1.56666666653473</v>
      </c>
      <c r="BU95" s="42">
        <f t="shared" si="59"/>
        <v>1</v>
      </c>
      <c r="BV95" s="11">
        <f t="shared" si="60"/>
        <v>0</v>
      </c>
      <c r="BW95" s="11">
        <f t="shared" si="61"/>
        <v>0</v>
      </c>
      <c r="BX95" s="11">
        <f t="shared" si="62"/>
        <v>1</v>
      </c>
      <c r="BY95" s="11">
        <f t="shared" si="63"/>
        <v>0</v>
      </c>
      <c r="BZ95" s="11">
        <f t="shared" si="64"/>
        <v>0</v>
      </c>
      <c r="CA95" s="11">
        <f t="shared" si="65"/>
        <v>1</v>
      </c>
      <c r="CB95" s="42">
        <f t="shared" si="66"/>
        <v>0</v>
      </c>
      <c r="CC95" s="11">
        <f t="shared" si="67"/>
        <v>0</v>
      </c>
      <c r="CD95" s="11">
        <f t="shared" si="68"/>
        <v>1</v>
      </c>
      <c r="CE95" s="4"/>
      <c r="CF95" s="50">
        <f t="shared" si="69"/>
        <v>0</v>
      </c>
      <c r="CG95" s="50">
        <f t="shared" si="70"/>
        <v>0</v>
      </c>
      <c r="CH95" s="50">
        <f t="shared" si="71"/>
        <v>1.56666666653473</v>
      </c>
      <c r="CI95" s="50">
        <f t="shared" si="72"/>
        <v>1</v>
      </c>
      <c r="CJ95" s="50">
        <f t="shared" si="73"/>
        <v>0</v>
      </c>
      <c r="CK95" s="50">
        <f t="shared" si="74"/>
        <v>0</v>
      </c>
      <c r="CL95" s="50">
        <f t="shared" si="75"/>
        <v>0</v>
      </c>
      <c r="CM95" s="50">
        <f t="shared" si="76"/>
        <v>0</v>
      </c>
      <c r="CN95" s="50">
        <f t="shared" si="77"/>
        <v>1.56666666653473</v>
      </c>
      <c r="CO95" s="50">
        <f t="shared" si="78"/>
        <v>1</v>
      </c>
      <c r="CP95" s="50">
        <f t="shared" si="79"/>
        <v>0</v>
      </c>
      <c r="CQ95" s="50">
        <f t="shared" si="80"/>
        <v>0</v>
      </c>
      <c r="CR95"/>
    </row>
    <row r="96" spans="2:96" s="385" customFormat="1" ht="15.75" customHeight="1" x14ac:dyDescent="0.15">
      <c r="B96" s="59"/>
      <c r="D96" s="130">
        <v>21</v>
      </c>
      <c r="AA96" s="28" t="s">
        <v>701</v>
      </c>
      <c r="AB96" s="31" t="s">
        <v>969</v>
      </c>
      <c r="AC96" s="247" t="s">
        <v>1445</v>
      </c>
      <c r="AD96" s="314" t="s">
        <v>110</v>
      </c>
      <c r="AE96" s="315" t="s">
        <v>1613</v>
      </c>
      <c r="AF96" s="316" t="s">
        <v>1432</v>
      </c>
      <c r="AG96" s="248" t="s">
        <v>1676</v>
      </c>
      <c r="AH96" s="248" t="s">
        <v>1676</v>
      </c>
      <c r="AI96" s="248" t="s">
        <v>122</v>
      </c>
      <c r="AJ96" s="317">
        <v>0</v>
      </c>
      <c r="AK96" s="315" t="s">
        <v>1677</v>
      </c>
      <c r="AL96" s="315">
        <v>0</v>
      </c>
      <c r="AM96" s="315">
        <v>0</v>
      </c>
      <c r="AN96" s="42">
        <f t="shared" si="41"/>
        <v>1</v>
      </c>
      <c r="AO96" s="318">
        <v>0</v>
      </c>
      <c r="AP96" s="318">
        <v>0</v>
      </c>
      <c r="AQ96" s="318">
        <v>1</v>
      </c>
      <c r="AR96" s="318">
        <v>0</v>
      </c>
      <c r="AS96" s="318">
        <v>0</v>
      </c>
      <c r="AT96" s="318">
        <v>1</v>
      </c>
      <c r="AU96" s="42">
        <f t="shared" si="42"/>
        <v>0</v>
      </c>
      <c r="AV96" s="318">
        <v>0</v>
      </c>
      <c r="AW96" s="318">
        <v>311</v>
      </c>
      <c r="AX96" s="315"/>
      <c r="AY96" s="636" t="s">
        <v>2055</v>
      </c>
      <c r="AZ96" s="319" t="s">
        <v>201</v>
      </c>
      <c r="BA96" s="319" t="s">
        <v>2041</v>
      </c>
      <c r="BB96" s="318">
        <v>0</v>
      </c>
      <c r="BC96" s="9"/>
      <c r="BD96" s="9"/>
      <c r="BE96" s="50">
        <f t="shared" si="43"/>
        <v>0</v>
      </c>
      <c r="BF96" s="50">
        <f t="shared" si="44"/>
        <v>0</v>
      </c>
      <c r="BG96" s="50">
        <f t="shared" si="45"/>
        <v>0</v>
      </c>
      <c r="BH96" s="50">
        <f t="shared" si="46"/>
        <v>0</v>
      </c>
      <c r="BI96" s="50">
        <f t="shared" si="47"/>
        <v>0</v>
      </c>
      <c r="BJ96" s="50">
        <f t="shared" si="48"/>
        <v>0</v>
      </c>
      <c r="BK96" s="50">
        <f t="shared" si="49"/>
        <v>0</v>
      </c>
      <c r="BL96" s="50">
        <f t="shared" si="50"/>
        <v>0</v>
      </c>
      <c r="BM96" s="50">
        <f t="shared" si="51"/>
        <v>0</v>
      </c>
      <c r="BN96" s="50">
        <f t="shared" si="52"/>
        <v>0</v>
      </c>
      <c r="BO96" s="50">
        <f t="shared" si="53"/>
        <v>0</v>
      </c>
      <c r="BP96" s="50">
        <f t="shared" si="54"/>
        <v>0</v>
      </c>
      <c r="BQ96" s="4" t="str">
        <f t="shared" si="55"/>
        <v>02,44 2025.04.28</v>
      </c>
      <c r="BR96" s="4" t="str">
        <f t="shared" si="56"/>
        <v>02,44 2025.04.28</v>
      </c>
      <c r="BS96" s="4" t="str">
        <f t="shared" si="57"/>
        <v>В</v>
      </c>
      <c r="BT96" s="10">
        <f t="shared" si="58"/>
        <v>0</v>
      </c>
      <c r="BU96" s="42">
        <f t="shared" si="59"/>
        <v>1</v>
      </c>
      <c r="BV96" s="11">
        <f t="shared" si="60"/>
        <v>0</v>
      </c>
      <c r="BW96" s="11">
        <f t="shared" si="61"/>
        <v>0</v>
      </c>
      <c r="BX96" s="11">
        <f t="shared" si="62"/>
        <v>1</v>
      </c>
      <c r="BY96" s="11">
        <f t="shared" si="63"/>
        <v>0</v>
      </c>
      <c r="BZ96" s="11">
        <f t="shared" si="64"/>
        <v>0</v>
      </c>
      <c r="CA96" s="11">
        <f t="shared" si="65"/>
        <v>1</v>
      </c>
      <c r="CB96" s="42">
        <f t="shared" si="66"/>
        <v>0</v>
      </c>
      <c r="CC96" s="11">
        <f t="shared" si="67"/>
        <v>0</v>
      </c>
      <c r="CD96" s="11">
        <f t="shared" si="68"/>
        <v>0</v>
      </c>
      <c r="CE96" s="4"/>
      <c r="CF96" s="50">
        <f t="shared" si="69"/>
        <v>0</v>
      </c>
      <c r="CG96" s="50">
        <f t="shared" si="70"/>
        <v>0</v>
      </c>
      <c r="CH96" s="50">
        <f t="shared" si="71"/>
        <v>0</v>
      </c>
      <c r="CI96" s="50">
        <f t="shared" si="72"/>
        <v>0</v>
      </c>
      <c r="CJ96" s="50">
        <f t="shared" si="73"/>
        <v>0</v>
      </c>
      <c r="CK96" s="50">
        <f t="shared" si="74"/>
        <v>0</v>
      </c>
      <c r="CL96" s="50">
        <f t="shared" si="75"/>
        <v>0</v>
      </c>
      <c r="CM96" s="50">
        <f t="shared" si="76"/>
        <v>0</v>
      </c>
      <c r="CN96" s="50">
        <f t="shared" si="77"/>
        <v>0</v>
      </c>
      <c r="CO96" s="50">
        <f t="shared" si="78"/>
        <v>0</v>
      </c>
      <c r="CP96" s="50">
        <f t="shared" si="79"/>
        <v>0</v>
      </c>
      <c r="CQ96" s="50">
        <f t="shared" si="80"/>
        <v>0</v>
      </c>
      <c r="CR96"/>
    </row>
    <row r="97" spans="2:96" s="386" customFormat="1" ht="15.75" customHeight="1" x14ac:dyDescent="0.15">
      <c r="B97" s="59"/>
      <c r="D97" s="130">
        <v>21</v>
      </c>
      <c r="AA97" s="28" t="s">
        <v>701</v>
      </c>
      <c r="AB97" s="31" t="s">
        <v>970</v>
      </c>
      <c r="AC97" s="247" t="s">
        <v>1435</v>
      </c>
      <c r="AD97" s="314" t="s">
        <v>110</v>
      </c>
      <c r="AE97" s="315" t="s">
        <v>1678</v>
      </c>
      <c r="AF97" s="316" t="s">
        <v>1432</v>
      </c>
      <c r="AG97" s="248" t="s">
        <v>1679</v>
      </c>
      <c r="AH97" s="248" t="s">
        <v>1680</v>
      </c>
      <c r="AI97" s="248" t="s">
        <v>122</v>
      </c>
      <c r="AJ97" s="317">
        <v>2.0666666665929401</v>
      </c>
      <c r="AK97" s="315" t="s">
        <v>1681</v>
      </c>
      <c r="AL97" s="315">
        <v>0</v>
      </c>
      <c r="AM97" s="315">
        <v>0</v>
      </c>
      <c r="AN97" s="42">
        <f t="shared" si="41"/>
        <v>1</v>
      </c>
      <c r="AO97" s="318">
        <v>0</v>
      </c>
      <c r="AP97" s="318">
        <v>0</v>
      </c>
      <c r="AQ97" s="318">
        <v>1</v>
      </c>
      <c r="AR97" s="318">
        <v>0</v>
      </c>
      <c r="AS97" s="318">
        <v>0</v>
      </c>
      <c r="AT97" s="318">
        <v>1</v>
      </c>
      <c r="AU97" s="42">
        <f t="shared" si="42"/>
        <v>0</v>
      </c>
      <c r="AV97" s="318">
        <v>0</v>
      </c>
      <c r="AW97" s="318">
        <v>170</v>
      </c>
      <c r="AX97" s="315"/>
      <c r="AY97" s="636" t="s">
        <v>2056</v>
      </c>
      <c r="AZ97" s="319" t="s">
        <v>201</v>
      </c>
      <c r="BA97" s="319" t="s">
        <v>2041</v>
      </c>
      <c r="BB97" s="318">
        <v>0</v>
      </c>
      <c r="BC97" s="9"/>
      <c r="BD97" s="9"/>
      <c r="BE97" s="50">
        <f t="shared" si="43"/>
        <v>0</v>
      </c>
      <c r="BF97" s="50">
        <f t="shared" si="44"/>
        <v>0</v>
      </c>
      <c r="BG97" s="50">
        <f t="shared" si="45"/>
        <v>0</v>
      </c>
      <c r="BH97" s="50">
        <f t="shared" si="46"/>
        <v>0</v>
      </c>
      <c r="BI97" s="50">
        <f t="shared" si="47"/>
        <v>0</v>
      </c>
      <c r="BJ97" s="50">
        <f t="shared" si="48"/>
        <v>0</v>
      </c>
      <c r="BK97" s="50">
        <f t="shared" si="49"/>
        <v>0</v>
      </c>
      <c r="BL97" s="50">
        <f t="shared" si="50"/>
        <v>0</v>
      </c>
      <c r="BM97" s="50">
        <f t="shared" si="51"/>
        <v>0</v>
      </c>
      <c r="BN97" s="50">
        <f t="shared" si="52"/>
        <v>0</v>
      </c>
      <c r="BO97" s="50">
        <f t="shared" si="53"/>
        <v>0</v>
      </c>
      <c r="BP97" s="50">
        <f t="shared" si="54"/>
        <v>0</v>
      </c>
      <c r="BQ97" s="4" t="str">
        <f t="shared" si="55"/>
        <v>16,43 2025.04.29</v>
      </c>
      <c r="BR97" s="4" t="str">
        <f t="shared" si="56"/>
        <v>18,47 2025.04.29</v>
      </c>
      <c r="BS97" s="4" t="str">
        <f t="shared" si="57"/>
        <v>В</v>
      </c>
      <c r="BT97" s="10">
        <f t="shared" si="58"/>
        <v>2.0666666665929401</v>
      </c>
      <c r="BU97" s="42">
        <f t="shared" si="59"/>
        <v>1</v>
      </c>
      <c r="BV97" s="11">
        <f t="shared" si="60"/>
        <v>0</v>
      </c>
      <c r="BW97" s="11">
        <f t="shared" si="61"/>
        <v>0</v>
      </c>
      <c r="BX97" s="11">
        <f t="shared" si="62"/>
        <v>1</v>
      </c>
      <c r="BY97" s="11">
        <f t="shared" si="63"/>
        <v>0</v>
      </c>
      <c r="BZ97" s="11">
        <f t="shared" si="64"/>
        <v>0</v>
      </c>
      <c r="CA97" s="11">
        <f t="shared" si="65"/>
        <v>1</v>
      </c>
      <c r="CB97" s="42">
        <f t="shared" si="66"/>
        <v>0</v>
      </c>
      <c r="CC97" s="11">
        <f t="shared" si="67"/>
        <v>0</v>
      </c>
      <c r="CD97" s="11">
        <f t="shared" si="68"/>
        <v>0</v>
      </c>
      <c r="CE97" s="4"/>
      <c r="CF97" s="50">
        <f t="shared" si="69"/>
        <v>0</v>
      </c>
      <c r="CG97" s="50">
        <f t="shared" si="70"/>
        <v>0</v>
      </c>
      <c r="CH97" s="50">
        <f t="shared" si="71"/>
        <v>0</v>
      </c>
      <c r="CI97" s="50">
        <f t="shared" si="72"/>
        <v>0</v>
      </c>
      <c r="CJ97" s="50">
        <f t="shared" si="73"/>
        <v>0</v>
      </c>
      <c r="CK97" s="50">
        <f t="shared" si="74"/>
        <v>0</v>
      </c>
      <c r="CL97" s="50">
        <f t="shared" si="75"/>
        <v>0</v>
      </c>
      <c r="CM97" s="50">
        <f t="shared" si="76"/>
        <v>0</v>
      </c>
      <c r="CN97" s="50">
        <f t="shared" si="77"/>
        <v>0</v>
      </c>
      <c r="CO97" s="50">
        <f t="shared" si="78"/>
        <v>0</v>
      </c>
      <c r="CP97" s="50">
        <f t="shared" si="79"/>
        <v>0</v>
      </c>
      <c r="CQ97" s="50">
        <f t="shared" si="80"/>
        <v>0</v>
      </c>
      <c r="CR97"/>
    </row>
    <row r="98" spans="2:96" s="387" customFormat="1" ht="15.75" customHeight="1" x14ac:dyDescent="0.15">
      <c r="B98" s="59"/>
      <c r="D98" s="130">
        <v>21</v>
      </c>
      <c r="AA98" s="28" t="s">
        <v>701</v>
      </c>
      <c r="AB98" s="31" t="s">
        <v>971</v>
      </c>
      <c r="AC98" s="247" t="s">
        <v>1435</v>
      </c>
      <c r="AD98" s="314" t="s">
        <v>110</v>
      </c>
      <c r="AE98" s="315" t="s">
        <v>1682</v>
      </c>
      <c r="AF98" s="316" t="s">
        <v>1432</v>
      </c>
      <c r="AG98" s="248" t="s">
        <v>1683</v>
      </c>
      <c r="AH98" s="248" t="s">
        <v>1683</v>
      </c>
      <c r="AI98" s="248" t="s">
        <v>122</v>
      </c>
      <c r="AJ98" s="317">
        <v>0</v>
      </c>
      <c r="AK98" s="315" t="s">
        <v>1684</v>
      </c>
      <c r="AL98" s="315">
        <v>0</v>
      </c>
      <c r="AM98" s="315">
        <v>0</v>
      </c>
      <c r="AN98" s="42">
        <f t="shared" si="41"/>
        <v>2</v>
      </c>
      <c r="AO98" s="318">
        <v>0</v>
      </c>
      <c r="AP98" s="318">
        <v>0</v>
      </c>
      <c r="AQ98" s="318">
        <v>2</v>
      </c>
      <c r="AR98" s="318">
        <v>0</v>
      </c>
      <c r="AS98" s="318">
        <v>0</v>
      </c>
      <c r="AT98" s="318">
        <v>2</v>
      </c>
      <c r="AU98" s="42">
        <f t="shared" si="42"/>
        <v>0</v>
      </c>
      <c r="AV98" s="318">
        <v>0</v>
      </c>
      <c r="AW98" s="318">
        <v>102</v>
      </c>
      <c r="AX98" s="315"/>
      <c r="AY98" s="636" t="s">
        <v>2057</v>
      </c>
      <c r="AZ98" s="319" t="s">
        <v>199</v>
      </c>
      <c r="BA98" s="319" t="s">
        <v>2041</v>
      </c>
      <c r="BB98" s="318">
        <v>0</v>
      </c>
      <c r="BC98" s="9"/>
      <c r="BD98" s="9"/>
      <c r="BE98" s="50">
        <f t="shared" si="43"/>
        <v>0</v>
      </c>
      <c r="BF98" s="50">
        <f t="shared" si="44"/>
        <v>0</v>
      </c>
      <c r="BG98" s="50">
        <f t="shared" si="45"/>
        <v>0</v>
      </c>
      <c r="BH98" s="50">
        <f t="shared" si="46"/>
        <v>0</v>
      </c>
      <c r="BI98" s="50">
        <f t="shared" si="47"/>
        <v>0</v>
      </c>
      <c r="BJ98" s="50">
        <f t="shared" si="48"/>
        <v>0</v>
      </c>
      <c r="BK98" s="50">
        <f t="shared" si="49"/>
        <v>0</v>
      </c>
      <c r="BL98" s="50">
        <f t="shared" si="50"/>
        <v>0</v>
      </c>
      <c r="BM98" s="50">
        <f t="shared" si="51"/>
        <v>0</v>
      </c>
      <c r="BN98" s="50">
        <f t="shared" si="52"/>
        <v>0</v>
      </c>
      <c r="BO98" s="50">
        <f t="shared" si="53"/>
        <v>0</v>
      </c>
      <c r="BP98" s="50">
        <f t="shared" si="54"/>
        <v>0</v>
      </c>
      <c r="BQ98" s="4" t="str">
        <f t="shared" si="55"/>
        <v>14,34 2025.05.02</v>
      </c>
      <c r="BR98" s="4" t="str">
        <f t="shared" si="56"/>
        <v>14,34 2025.05.02</v>
      </c>
      <c r="BS98" s="4" t="str">
        <f t="shared" si="57"/>
        <v>В</v>
      </c>
      <c r="BT98" s="10">
        <f t="shared" si="58"/>
        <v>0</v>
      </c>
      <c r="BU98" s="42">
        <f t="shared" si="59"/>
        <v>2</v>
      </c>
      <c r="BV98" s="11">
        <f t="shared" si="60"/>
        <v>0</v>
      </c>
      <c r="BW98" s="11">
        <f t="shared" si="61"/>
        <v>0</v>
      </c>
      <c r="BX98" s="11">
        <f t="shared" si="62"/>
        <v>2</v>
      </c>
      <c r="BY98" s="11">
        <f t="shared" si="63"/>
        <v>0</v>
      </c>
      <c r="BZ98" s="11">
        <f t="shared" si="64"/>
        <v>0</v>
      </c>
      <c r="CA98" s="11">
        <f t="shared" si="65"/>
        <v>2</v>
      </c>
      <c r="CB98" s="42">
        <f t="shared" si="66"/>
        <v>0</v>
      </c>
      <c r="CC98" s="11">
        <f t="shared" si="67"/>
        <v>0</v>
      </c>
      <c r="CD98" s="11">
        <f t="shared" si="68"/>
        <v>0</v>
      </c>
      <c r="CE98" s="4"/>
      <c r="CF98" s="50">
        <f t="shared" si="69"/>
        <v>0</v>
      </c>
      <c r="CG98" s="50">
        <f t="shared" si="70"/>
        <v>0</v>
      </c>
      <c r="CH98" s="50">
        <f t="shared" si="71"/>
        <v>0</v>
      </c>
      <c r="CI98" s="50">
        <f t="shared" si="72"/>
        <v>0</v>
      </c>
      <c r="CJ98" s="50">
        <f t="shared" si="73"/>
        <v>0</v>
      </c>
      <c r="CK98" s="50">
        <f t="shared" si="74"/>
        <v>0</v>
      </c>
      <c r="CL98" s="50">
        <f t="shared" si="75"/>
        <v>0</v>
      </c>
      <c r="CM98" s="50">
        <f t="shared" si="76"/>
        <v>0</v>
      </c>
      <c r="CN98" s="50">
        <f t="shared" si="77"/>
        <v>0</v>
      </c>
      <c r="CO98" s="50">
        <f t="shared" si="78"/>
        <v>0</v>
      </c>
      <c r="CP98" s="50">
        <f t="shared" si="79"/>
        <v>0</v>
      </c>
      <c r="CQ98" s="50">
        <f t="shared" si="80"/>
        <v>0</v>
      </c>
      <c r="CR98"/>
    </row>
    <row r="99" spans="2:96" s="388" customFormat="1" ht="15.75" customHeight="1" x14ac:dyDescent="0.15">
      <c r="B99" s="59"/>
      <c r="D99" s="130">
        <v>21</v>
      </c>
      <c r="AA99" s="28" t="s">
        <v>701</v>
      </c>
      <c r="AB99" s="31" t="s">
        <v>972</v>
      </c>
      <c r="AC99" s="247" t="s">
        <v>1430</v>
      </c>
      <c r="AD99" s="314" t="s">
        <v>110</v>
      </c>
      <c r="AE99" s="315" t="s">
        <v>1685</v>
      </c>
      <c r="AF99" s="316" t="s">
        <v>1495</v>
      </c>
      <c r="AG99" s="248" t="s">
        <v>1686</v>
      </c>
      <c r="AH99" s="248" t="s">
        <v>1686</v>
      </c>
      <c r="AI99" s="248" t="s">
        <v>122</v>
      </c>
      <c r="AJ99" s="317">
        <v>0</v>
      </c>
      <c r="AK99" s="315" t="s">
        <v>1687</v>
      </c>
      <c r="AL99" s="315">
        <v>0</v>
      </c>
      <c r="AM99" s="315">
        <v>0</v>
      </c>
      <c r="AN99" s="42">
        <f t="shared" si="41"/>
        <v>3</v>
      </c>
      <c r="AO99" s="318">
        <v>0</v>
      </c>
      <c r="AP99" s="318">
        <v>0</v>
      </c>
      <c r="AQ99" s="318">
        <v>3</v>
      </c>
      <c r="AR99" s="318">
        <v>0</v>
      </c>
      <c r="AS99" s="318">
        <v>0</v>
      </c>
      <c r="AT99" s="318">
        <v>3</v>
      </c>
      <c r="AU99" s="42">
        <f t="shared" si="42"/>
        <v>0</v>
      </c>
      <c r="AV99" s="318">
        <v>0</v>
      </c>
      <c r="AW99" s="318">
        <v>970</v>
      </c>
      <c r="AX99" s="315"/>
      <c r="AY99" s="636" t="s">
        <v>2058</v>
      </c>
      <c r="AZ99" s="319" t="s">
        <v>195</v>
      </c>
      <c r="BA99" s="319" t="s">
        <v>2041</v>
      </c>
      <c r="BB99" s="318">
        <v>0</v>
      </c>
      <c r="BC99" s="9"/>
      <c r="BD99" s="9"/>
      <c r="BE99" s="50">
        <f t="shared" si="43"/>
        <v>0</v>
      </c>
      <c r="BF99" s="50">
        <f t="shared" si="44"/>
        <v>0</v>
      </c>
      <c r="BG99" s="50">
        <f t="shared" si="45"/>
        <v>0</v>
      </c>
      <c r="BH99" s="50">
        <f t="shared" si="46"/>
        <v>0</v>
      </c>
      <c r="BI99" s="50">
        <f t="shared" si="47"/>
        <v>0</v>
      </c>
      <c r="BJ99" s="50">
        <f t="shared" si="48"/>
        <v>0</v>
      </c>
      <c r="BK99" s="50">
        <f t="shared" si="49"/>
        <v>0</v>
      </c>
      <c r="BL99" s="50">
        <f t="shared" si="50"/>
        <v>0</v>
      </c>
      <c r="BM99" s="50">
        <f t="shared" si="51"/>
        <v>0</v>
      </c>
      <c r="BN99" s="50">
        <f t="shared" si="52"/>
        <v>0</v>
      </c>
      <c r="BO99" s="50">
        <f t="shared" si="53"/>
        <v>0</v>
      </c>
      <c r="BP99" s="50">
        <f t="shared" si="54"/>
        <v>0</v>
      </c>
      <c r="BQ99" s="4" t="str">
        <f t="shared" si="55"/>
        <v>09,00 2025.05.05</v>
      </c>
      <c r="BR99" s="4" t="str">
        <f t="shared" si="56"/>
        <v>09,00 2025.05.05</v>
      </c>
      <c r="BS99" s="4" t="str">
        <f t="shared" si="57"/>
        <v>В</v>
      </c>
      <c r="BT99" s="10">
        <f t="shared" si="58"/>
        <v>0</v>
      </c>
      <c r="BU99" s="42">
        <f t="shared" si="59"/>
        <v>3</v>
      </c>
      <c r="BV99" s="11">
        <f t="shared" si="60"/>
        <v>0</v>
      </c>
      <c r="BW99" s="11">
        <f t="shared" si="61"/>
        <v>0</v>
      </c>
      <c r="BX99" s="11">
        <f t="shared" si="62"/>
        <v>3</v>
      </c>
      <c r="BY99" s="11">
        <f t="shared" si="63"/>
        <v>0</v>
      </c>
      <c r="BZ99" s="11">
        <f t="shared" si="64"/>
        <v>0</v>
      </c>
      <c r="CA99" s="11">
        <f t="shared" si="65"/>
        <v>3</v>
      </c>
      <c r="CB99" s="42">
        <f t="shared" si="66"/>
        <v>0</v>
      </c>
      <c r="CC99" s="11">
        <f t="shared" si="67"/>
        <v>0</v>
      </c>
      <c r="CD99" s="11">
        <f t="shared" si="68"/>
        <v>0</v>
      </c>
      <c r="CE99" s="4"/>
      <c r="CF99" s="50">
        <f t="shared" si="69"/>
        <v>0</v>
      </c>
      <c r="CG99" s="50">
        <f t="shared" si="70"/>
        <v>0</v>
      </c>
      <c r="CH99" s="50">
        <f t="shared" si="71"/>
        <v>0</v>
      </c>
      <c r="CI99" s="50">
        <f t="shared" si="72"/>
        <v>0</v>
      </c>
      <c r="CJ99" s="50">
        <f t="shared" si="73"/>
        <v>0</v>
      </c>
      <c r="CK99" s="50">
        <f t="shared" si="74"/>
        <v>0</v>
      </c>
      <c r="CL99" s="50">
        <f t="shared" si="75"/>
        <v>0</v>
      </c>
      <c r="CM99" s="50">
        <f t="shared" si="76"/>
        <v>0</v>
      </c>
      <c r="CN99" s="50">
        <f t="shared" si="77"/>
        <v>0</v>
      </c>
      <c r="CO99" s="50">
        <f t="shared" si="78"/>
        <v>0</v>
      </c>
      <c r="CP99" s="50">
        <f t="shared" si="79"/>
        <v>0</v>
      </c>
      <c r="CQ99" s="50">
        <f t="shared" si="80"/>
        <v>0</v>
      </c>
      <c r="CR99"/>
    </row>
    <row r="100" spans="2:96" s="389" customFormat="1" ht="15.75" customHeight="1" x14ac:dyDescent="0.15">
      <c r="B100" s="59"/>
      <c r="D100" s="130">
        <v>21</v>
      </c>
      <c r="AA100" s="28" t="s">
        <v>701</v>
      </c>
      <c r="AB100" s="31" t="s">
        <v>973</v>
      </c>
      <c r="AC100" s="247" t="s">
        <v>1445</v>
      </c>
      <c r="AD100" s="314" t="s">
        <v>110</v>
      </c>
      <c r="AE100" s="315" t="s">
        <v>1688</v>
      </c>
      <c r="AF100" s="316" t="s">
        <v>1432</v>
      </c>
      <c r="AG100" s="248" t="s">
        <v>1689</v>
      </c>
      <c r="AH100" s="248" t="s">
        <v>1690</v>
      </c>
      <c r="AI100" s="248" t="s">
        <v>100</v>
      </c>
      <c r="AJ100" s="317">
        <v>4.9500000000698501</v>
      </c>
      <c r="AK100" s="315" t="s">
        <v>1691</v>
      </c>
      <c r="AL100" s="315">
        <v>0</v>
      </c>
      <c r="AM100" s="315">
        <v>0</v>
      </c>
      <c r="AN100" s="42">
        <f t="shared" si="41"/>
        <v>1</v>
      </c>
      <c r="AO100" s="318">
        <v>0</v>
      </c>
      <c r="AP100" s="318">
        <v>0</v>
      </c>
      <c r="AQ100" s="318">
        <v>1</v>
      </c>
      <c r="AR100" s="318">
        <v>0</v>
      </c>
      <c r="AS100" s="318">
        <v>0</v>
      </c>
      <c r="AT100" s="318">
        <v>1</v>
      </c>
      <c r="AU100" s="42">
        <f t="shared" si="42"/>
        <v>0</v>
      </c>
      <c r="AV100" s="318">
        <v>0</v>
      </c>
      <c r="AW100" s="318">
        <v>230</v>
      </c>
      <c r="AX100" s="315"/>
      <c r="AY100" s="636"/>
      <c r="AZ100" s="319"/>
      <c r="BA100" s="319"/>
      <c r="BB100" s="318">
        <v>1</v>
      </c>
      <c r="BC100" s="9"/>
      <c r="BD100" s="9"/>
      <c r="BE100" s="50">
        <f t="shared" si="43"/>
        <v>0</v>
      </c>
      <c r="BF100" s="50">
        <f t="shared" si="44"/>
        <v>0</v>
      </c>
      <c r="BG100" s="50">
        <f t="shared" si="45"/>
        <v>4.9500000000698501</v>
      </c>
      <c r="BH100" s="50">
        <f t="shared" si="46"/>
        <v>1</v>
      </c>
      <c r="BI100" s="50">
        <f t="shared" si="47"/>
        <v>0</v>
      </c>
      <c r="BJ100" s="50">
        <f t="shared" si="48"/>
        <v>0</v>
      </c>
      <c r="BK100" s="50">
        <f t="shared" si="49"/>
        <v>0</v>
      </c>
      <c r="BL100" s="50">
        <f t="shared" si="50"/>
        <v>0</v>
      </c>
      <c r="BM100" s="50">
        <f t="shared" si="51"/>
        <v>4.9500000000698501</v>
      </c>
      <c r="BN100" s="50">
        <f t="shared" si="52"/>
        <v>1</v>
      </c>
      <c r="BO100" s="50">
        <f t="shared" si="53"/>
        <v>0</v>
      </c>
      <c r="BP100" s="50">
        <f t="shared" si="54"/>
        <v>0</v>
      </c>
      <c r="BQ100" s="4" t="str">
        <f t="shared" si="55"/>
        <v>10,52 2025.05.05</v>
      </c>
      <c r="BR100" s="4" t="str">
        <f t="shared" si="56"/>
        <v>15,49 2025.05.05</v>
      </c>
      <c r="BS100" s="4" t="str">
        <f t="shared" si="57"/>
        <v>П</v>
      </c>
      <c r="BT100" s="10">
        <f t="shared" si="58"/>
        <v>4.9500000000698501</v>
      </c>
      <c r="BU100" s="42">
        <f t="shared" si="59"/>
        <v>1</v>
      </c>
      <c r="BV100" s="11">
        <f t="shared" si="60"/>
        <v>0</v>
      </c>
      <c r="BW100" s="11">
        <f t="shared" si="61"/>
        <v>0</v>
      </c>
      <c r="BX100" s="11">
        <f t="shared" si="62"/>
        <v>1</v>
      </c>
      <c r="BY100" s="11">
        <f t="shared" si="63"/>
        <v>0</v>
      </c>
      <c r="BZ100" s="11">
        <f t="shared" si="64"/>
        <v>0</v>
      </c>
      <c r="CA100" s="11">
        <f t="shared" si="65"/>
        <v>1</v>
      </c>
      <c r="CB100" s="42">
        <f t="shared" si="66"/>
        <v>0</v>
      </c>
      <c r="CC100" s="11">
        <f t="shared" si="67"/>
        <v>0</v>
      </c>
      <c r="CD100" s="11">
        <f t="shared" si="68"/>
        <v>1</v>
      </c>
      <c r="CE100" s="4"/>
      <c r="CF100" s="50">
        <f t="shared" si="69"/>
        <v>0</v>
      </c>
      <c r="CG100" s="50">
        <f t="shared" si="70"/>
        <v>0</v>
      </c>
      <c r="CH100" s="50">
        <f t="shared" si="71"/>
        <v>4.9500000000698501</v>
      </c>
      <c r="CI100" s="50">
        <f t="shared" si="72"/>
        <v>1</v>
      </c>
      <c r="CJ100" s="50">
        <f t="shared" si="73"/>
        <v>0</v>
      </c>
      <c r="CK100" s="50">
        <f t="shared" si="74"/>
        <v>0</v>
      </c>
      <c r="CL100" s="50">
        <f t="shared" si="75"/>
        <v>0</v>
      </c>
      <c r="CM100" s="50">
        <f t="shared" si="76"/>
        <v>0</v>
      </c>
      <c r="CN100" s="50">
        <f t="shared" si="77"/>
        <v>4.9500000000698501</v>
      </c>
      <c r="CO100" s="50">
        <f t="shared" si="78"/>
        <v>1</v>
      </c>
      <c r="CP100" s="50">
        <f t="shared" si="79"/>
        <v>0</v>
      </c>
      <c r="CQ100" s="50">
        <f t="shared" si="80"/>
        <v>0</v>
      </c>
      <c r="CR100"/>
    </row>
    <row r="101" spans="2:96" s="390" customFormat="1" ht="15.75" customHeight="1" x14ac:dyDescent="0.15">
      <c r="B101" s="59"/>
      <c r="D101" s="130">
        <v>21</v>
      </c>
      <c r="AA101" s="28" t="s">
        <v>701</v>
      </c>
      <c r="AB101" s="31" t="s">
        <v>974</v>
      </c>
      <c r="AC101" s="247" t="s">
        <v>1469</v>
      </c>
      <c r="AD101" s="314" t="s">
        <v>110</v>
      </c>
      <c r="AE101" s="315" t="s">
        <v>1692</v>
      </c>
      <c r="AF101" s="316" t="s">
        <v>1471</v>
      </c>
      <c r="AG101" s="248" t="s">
        <v>1693</v>
      </c>
      <c r="AH101" s="248" t="s">
        <v>1693</v>
      </c>
      <c r="AI101" s="248" t="s">
        <v>122</v>
      </c>
      <c r="AJ101" s="317">
        <v>0</v>
      </c>
      <c r="AK101" s="315" t="s">
        <v>1692</v>
      </c>
      <c r="AL101" s="315">
        <v>0</v>
      </c>
      <c r="AM101" s="315">
        <v>0</v>
      </c>
      <c r="AN101" s="42">
        <f t="shared" si="41"/>
        <v>1178</v>
      </c>
      <c r="AO101" s="318">
        <v>0</v>
      </c>
      <c r="AP101" s="318">
        <v>0</v>
      </c>
      <c r="AQ101" s="318">
        <v>1178</v>
      </c>
      <c r="AR101" s="318">
        <v>0</v>
      </c>
      <c r="AS101" s="318">
        <v>0</v>
      </c>
      <c r="AT101" s="318">
        <v>1178</v>
      </c>
      <c r="AU101" s="42">
        <f t="shared" si="42"/>
        <v>0</v>
      </c>
      <c r="AV101" s="318">
        <v>0</v>
      </c>
      <c r="AW101" s="318">
        <v>1070</v>
      </c>
      <c r="AX101" s="315"/>
      <c r="AY101" s="636" t="s">
        <v>2059</v>
      </c>
      <c r="AZ101" s="319" t="s">
        <v>195</v>
      </c>
      <c r="BA101" s="319" t="s">
        <v>2041</v>
      </c>
      <c r="BB101" s="318">
        <v>0</v>
      </c>
      <c r="BC101" s="9"/>
      <c r="BD101" s="9"/>
      <c r="BE101" s="50">
        <f t="shared" si="43"/>
        <v>0</v>
      </c>
      <c r="BF101" s="50">
        <f t="shared" si="44"/>
        <v>0</v>
      </c>
      <c r="BG101" s="50">
        <f t="shared" si="45"/>
        <v>0</v>
      </c>
      <c r="BH101" s="50">
        <f t="shared" si="46"/>
        <v>0</v>
      </c>
      <c r="BI101" s="50">
        <f t="shared" si="47"/>
        <v>0</v>
      </c>
      <c r="BJ101" s="50">
        <f t="shared" si="48"/>
        <v>0</v>
      </c>
      <c r="BK101" s="50">
        <f t="shared" si="49"/>
        <v>0</v>
      </c>
      <c r="BL101" s="50">
        <f t="shared" si="50"/>
        <v>0</v>
      </c>
      <c r="BM101" s="50">
        <f t="shared" si="51"/>
        <v>0</v>
      </c>
      <c r="BN101" s="50">
        <f t="shared" si="52"/>
        <v>0</v>
      </c>
      <c r="BO101" s="50">
        <f t="shared" si="53"/>
        <v>0</v>
      </c>
      <c r="BP101" s="50">
        <f t="shared" si="54"/>
        <v>0</v>
      </c>
      <c r="BQ101" s="4" t="str">
        <f t="shared" si="55"/>
        <v>09,17 2025.05.06</v>
      </c>
      <c r="BR101" s="4" t="str">
        <f t="shared" si="56"/>
        <v>09,17 2025.05.06</v>
      </c>
      <c r="BS101" s="4" t="str">
        <f t="shared" si="57"/>
        <v>В</v>
      </c>
      <c r="BT101" s="10">
        <f t="shared" si="58"/>
        <v>0</v>
      </c>
      <c r="BU101" s="42">
        <f t="shared" si="59"/>
        <v>1178</v>
      </c>
      <c r="BV101" s="11">
        <f t="shared" si="60"/>
        <v>0</v>
      </c>
      <c r="BW101" s="11">
        <f t="shared" si="61"/>
        <v>0</v>
      </c>
      <c r="BX101" s="11">
        <f t="shared" si="62"/>
        <v>1178</v>
      </c>
      <c r="BY101" s="11">
        <f t="shared" si="63"/>
        <v>0</v>
      </c>
      <c r="BZ101" s="11">
        <f t="shared" si="64"/>
        <v>0</v>
      </c>
      <c r="CA101" s="11">
        <f t="shared" si="65"/>
        <v>1178</v>
      </c>
      <c r="CB101" s="42">
        <f t="shared" si="66"/>
        <v>0</v>
      </c>
      <c r="CC101" s="11">
        <f t="shared" si="67"/>
        <v>0</v>
      </c>
      <c r="CD101" s="11">
        <f t="shared" si="68"/>
        <v>0</v>
      </c>
      <c r="CE101" s="4"/>
      <c r="CF101" s="50">
        <f t="shared" si="69"/>
        <v>0</v>
      </c>
      <c r="CG101" s="50">
        <f t="shared" si="70"/>
        <v>0</v>
      </c>
      <c r="CH101" s="50">
        <f t="shared" si="71"/>
        <v>0</v>
      </c>
      <c r="CI101" s="50">
        <f t="shared" si="72"/>
        <v>0</v>
      </c>
      <c r="CJ101" s="50">
        <f t="shared" si="73"/>
        <v>0</v>
      </c>
      <c r="CK101" s="50">
        <f t="shared" si="74"/>
        <v>0</v>
      </c>
      <c r="CL101" s="50">
        <f t="shared" si="75"/>
        <v>0</v>
      </c>
      <c r="CM101" s="50">
        <f t="shared" si="76"/>
        <v>0</v>
      </c>
      <c r="CN101" s="50">
        <f t="shared" si="77"/>
        <v>0</v>
      </c>
      <c r="CO101" s="50">
        <f t="shared" si="78"/>
        <v>0</v>
      </c>
      <c r="CP101" s="50">
        <f t="shared" si="79"/>
        <v>0</v>
      </c>
      <c r="CQ101" s="50">
        <f t="shared" si="80"/>
        <v>0</v>
      </c>
      <c r="CR101"/>
    </row>
    <row r="102" spans="2:96" s="391" customFormat="1" ht="15.75" customHeight="1" x14ac:dyDescent="0.15">
      <c r="B102" s="59"/>
      <c r="D102" s="130">
        <v>21</v>
      </c>
      <c r="AA102" s="28" t="s">
        <v>701</v>
      </c>
      <c r="AB102" s="31" t="s">
        <v>975</v>
      </c>
      <c r="AC102" s="247" t="s">
        <v>1445</v>
      </c>
      <c r="AD102" s="314" t="s">
        <v>110</v>
      </c>
      <c r="AE102" s="315" t="s">
        <v>1694</v>
      </c>
      <c r="AF102" s="316" t="s">
        <v>1432</v>
      </c>
      <c r="AG102" s="248" t="s">
        <v>1695</v>
      </c>
      <c r="AH102" s="248" t="s">
        <v>1696</v>
      </c>
      <c r="AI102" s="248" t="s">
        <v>100</v>
      </c>
      <c r="AJ102" s="317">
        <v>0.81666666670935195</v>
      </c>
      <c r="AK102" s="315" t="s">
        <v>1697</v>
      </c>
      <c r="AL102" s="315">
        <v>0</v>
      </c>
      <c r="AM102" s="315">
        <v>0</v>
      </c>
      <c r="AN102" s="42">
        <f t="shared" si="41"/>
        <v>1</v>
      </c>
      <c r="AO102" s="318">
        <v>0</v>
      </c>
      <c r="AP102" s="318">
        <v>0</v>
      </c>
      <c r="AQ102" s="318">
        <v>1</v>
      </c>
      <c r="AR102" s="318">
        <v>0</v>
      </c>
      <c r="AS102" s="318">
        <v>0</v>
      </c>
      <c r="AT102" s="318">
        <v>1</v>
      </c>
      <c r="AU102" s="42">
        <f t="shared" si="42"/>
        <v>0</v>
      </c>
      <c r="AV102" s="318">
        <v>0</v>
      </c>
      <c r="AW102" s="318">
        <v>350</v>
      </c>
      <c r="AX102" s="315"/>
      <c r="AY102" s="636"/>
      <c r="AZ102" s="319"/>
      <c r="BA102" s="319"/>
      <c r="BB102" s="318">
        <v>1</v>
      </c>
      <c r="BC102" s="9"/>
      <c r="BD102" s="9"/>
      <c r="BE102" s="50">
        <f t="shared" si="43"/>
        <v>0</v>
      </c>
      <c r="BF102" s="50">
        <f t="shared" si="44"/>
        <v>0</v>
      </c>
      <c r="BG102" s="50">
        <f t="shared" si="45"/>
        <v>0.81666666670935195</v>
      </c>
      <c r="BH102" s="50">
        <f t="shared" si="46"/>
        <v>1</v>
      </c>
      <c r="BI102" s="50">
        <f t="shared" si="47"/>
        <v>0</v>
      </c>
      <c r="BJ102" s="50">
        <f t="shared" si="48"/>
        <v>0</v>
      </c>
      <c r="BK102" s="50">
        <f t="shared" si="49"/>
        <v>0</v>
      </c>
      <c r="BL102" s="50">
        <f t="shared" si="50"/>
        <v>0</v>
      </c>
      <c r="BM102" s="50">
        <f t="shared" si="51"/>
        <v>0.81666666670935195</v>
      </c>
      <c r="BN102" s="50">
        <f t="shared" si="52"/>
        <v>1</v>
      </c>
      <c r="BO102" s="50">
        <f t="shared" si="53"/>
        <v>0</v>
      </c>
      <c r="BP102" s="50">
        <f t="shared" si="54"/>
        <v>0</v>
      </c>
      <c r="BQ102" s="4" t="str">
        <f t="shared" si="55"/>
        <v>11,34 2025.05.08</v>
      </c>
      <c r="BR102" s="4" t="str">
        <f t="shared" si="56"/>
        <v>12,23 2025.05.08</v>
      </c>
      <c r="BS102" s="4" t="str">
        <f t="shared" si="57"/>
        <v>П</v>
      </c>
      <c r="BT102" s="10">
        <f t="shared" si="58"/>
        <v>0.81666666670935195</v>
      </c>
      <c r="BU102" s="42">
        <f t="shared" si="59"/>
        <v>1</v>
      </c>
      <c r="BV102" s="11">
        <f t="shared" si="60"/>
        <v>0</v>
      </c>
      <c r="BW102" s="11">
        <f t="shared" si="61"/>
        <v>0</v>
      </c>
      <c r="BX102" s="11">
        <f t="shared" si="62"/>
        <v>1</v>
      </c>
      <c r="BY102" s="11">
        <f t="shared" si="63"/>
        <v>0</v>
      </c>
      <c r="BZ102" s="11">
        <f t="shared" si="64"/>
        <v>0</v>
      </c>
      <c r="CA102" s="11">
        <f t="shared" si="65"/>
        <v>1</v>
      </c>
      <c r="CB102" s="42">
        <f t="shared" si="66"/>
        <v>0</v>
      </c>
      <c r="CC102" s="11">
        <f t="shared" si="67"/>
        <v>0</v>
      </c>
      <c r="CD102" s="11">
        <f t="shared" si="68"/>
        <v>1</v>
      </c>
      <c r="CE102" s="4"/>
      <c r="CF102" s="50">
        <f t="shared" si="69"/>
        <v>0</v>
      </c>
      <c r="CG102" s="50">
        <f t="shared" si="70"/>
        <v>0</v>
      </c>
      <c r="CH102" s="50">
        <f t="shared" si="71"/>
        <v>0.81666666670935195</v>
      </c>
      <c r="CI102" s="50">
        <f t="shared" si="72"/>
        <v>1</v>
      </c>
      <c r="CJ102" s="50">
        <f t="shared" si="73"/>
        <v>0</v>
      </c>
      <c r="CK102" s="50">
        <f t="shared" si="74"/>
        <v>0</v>
      </c>
      <c r="CL102" s="50">
        <f t="shared" si="75"/>
        <v>0</v>
      </c>
      <c r="CM102" s="50">
        <f t="shared" si="76"/>
        <v>0</v>
      </c>
      <c r="CN102" s="50">
        <f t="shared" si="77"/>
        <v>0.81666666670935195</v>
      </c>
      <c r="CO102" s="50">
        <f t="shared" si="78"/>
        <v>1</v>
      </c>
      <c r="CP102" s="50">
        <f t="shared" si="79"/>
        <v>0</v>
      </c>
      <c r="CQ102" s="50">
        <f t="shared" si="80"/>
        <v>0</v>
      </c>
      <c r="CR102"/>
    </row>
    <row r="103" spans="2:96" s="392" customFormat="1" ht="15.75" customHeight="1" x14ac:dyDescent="0.15">
      <c r="B103" s="59"/>
      <c r="D103" s="130">
        <v>21</v>
      </c>
      <c r="AA103" s="28" t="s">
        <v>701</v>
      </c>
      <c r="AB103" s="31" t="s">
        <v>976</v>
      </c>
      <c r="AC103" s="247" t="s">
        <v>1445</v>
      </c>
      <c r="AD103" s="314" t="s">
        <v>110</v>
      </c>
      <c r="AE103" s="315" t="s">
        <v>1636</v>
      </c>
      <c r="AF103" s="316" t="s">
        <v>1432</v>
      </c>
      <c r="AG103" s="248" t="s">
        <v>1698</v>
      </c>
      <c r="AH103" s="248" t="s">
        <v>1699</v>
      </c>
      <c r="AI103" s="248" t="s">
        <v>100</v>
      </c>
      <c r="AJ103" s="317">
        <v>0.45000000006984903</v>
      </c>
      <c r="AK103" s="315" t="s">
        <v>1639</v>
      </c>
      <c r="AL103" s="315">
        <v>0</v>
      </c>
      <c r="AM103" s="315">
        <v>0</v>
      </c>
      <c r="AN103" s="42">
        <f t="shared" si="41"/>
        <v>1</v>
      </c>
      <c r="AO103" s="318">
        <v>0</v>
      </c>
      <c r="AP103" s="318">
        <v>0</v>
      </c>
      <c r="AQ103" s="318">
        <v>1</v>
      </c>
      <c r="AR103" s="318">
        <v>0</v>
      </c>
      <c r="AS103" s="318">
        <v>0</v>
      </c>
      <c r="AT103" s="318">
        <v>1</v>
      </c>
      <c r="AU103" s="42">
        <f t="shared" si="42"/>
        <v>0</v>
      </c>
      <c r="AV103" s="318">
        <v>0</v>
      </c>
      <c r="AW103" s="318">
        <v>330</v>
      </c>
      <c r="AX103" s="315"/>
      <c r="AY103" s="636"/>
      <c r="AZ103" s="319"/>
      <c r="BA103" s="319"/>
      <c r="BB103" s="318">
        <v>1</v>
      </c>
      <c r="BC103" s="9"/>
      <c r="BD103" s="9"/>
      <c r="BE103" s="50">
        <f t="shared" si="43"/>
        <v>0</v>
      </c>
      <c r="BF103" s="50">
        <f t="shared" si="44"/>
        <v>0</v>
      </c>
      <c r="BG103" s="50">
        <f t="shared" si="45"/>
        <v>0.45000000006984903</v>
      </c>
      <c r="BH103" s="50">
        <f t="shared" si="46"/>
        <v>1</v>
      </c>
      <c r="BI103" s="50">
        <f t="shared" si="47"/>
        <v>0</v>
      </c>
      <c r="BJ103" s="50">
        <f t="shared" si="48"/>
        <v>0</v>
      </c>
      <c r="BK103" s="50">
        <f t="shared" si="49"/>
        <v>0</v>
      </c>
      <c r="BL103" s="50">
        <f t="shared" si="50"/>
        <v>0</v>
      </c>
      <c r="BM103" s="50">
        <f t="shared" si="51"/>
        <v>0.45000000006984903</v>
      </c>
      <c r="BN103" s="50">
        <f t="shared" si="52"/>
        <v>1</v>
      </c>
      <c r="BO103" s="50">
        <f t="shared" si="53"/>
        <v>0</v>
      </c>
      <c r="BP103" s="50">
        <f t="shared" si="54"/>
        <v>0</v>
      </c>
      <c r="BQ103" s="4" t="str">
        <f t="shared" si="55"/>
        <v>19,35 2025.05.10</v>
      </c>
      <c r="BR103" s="4" t="str">
        <f t="shared" si="56"/>
        <v>20,02 2025.05.10</v>
      </c>
      <c r="BS103" s="4" t="str">
        <f t="shared" si="57"/>
        <v>П</v>
      </c>
      <c r="BT103" s="10">
        <f t="shared" si="58"/>
        <v>0.45000000006984903</v>
      </c>
      <c r="BU103" s="42">
        <f t="shared" si="59"/>
        <v>1</v>
      </c>
      <c r="BV103" s="11">
        <f t="shared" si="60"/>
        <v>0</v>
      </c>
      <c r="BW103" s="11">
        <f t="shared" si="61"/>
        <v>0</v>
      </c>
      <c r="BX103" s="11">
        <f t="shared" si="62"/>
        <v>1</v>
      </c>
      <c r="BY103" s="11">
        <f t="shared" si="63"/>
        <v>0</v>
      </c>
      <c r="BZ103" s="11">
        <f t="shared" si="64"/>
        <v>0</v>
      </c>
      <c r="CA103" s="11">
        <f t="shared" si="65"/>
        <v>1</v>
      </c>
      <c r="CB103" s="42">
        <f t="shared" si="66"/>
        <v>0</v>
      </c>
      <c r="CC103" s="11">
        <f t="shared" si="67"/>
        <v>0</v>
      </c>
      <c r="CD103" s="11">
        <f t="shared" si="68"/>
        <v>1</v>
      </c>
      <c r="CE103" s="4"/>
      <c r="CF103" s="50">
        <f t="shared" si="69"/>
        <v>0</v>
      </c>
      <c r="CG103" s="50">
        <f t="shared" si="70"/>
        <v>0</v>
      </c>
      <c r="CH103" s="50">
        <f t="shared" si="71"/>
        <v>0.45000000006984903</v>
      </c>
      <c r="CI103" s="50">
        <f t="shared" si="72"/>
        <v>1</v>
      </c>
      <c r="CJ103" s="50">
        <f t="shared" si="73"/>
        <v>0</v>
      </c>
      <c r="CK103" s="50">
        <f t="shared" si="74"/>
        <v>0</v>
      </c>
      <c r="CL103" s="50">
        <f t="shared" si="75"/>
        <v>0</v>
      </c>
      <c r="CM103" s="50">
        <f t="shared" si="76"/>
        <v>0</v>
      </c>
      <c r="CN103" s="50">
        <f t="shared" si="77"/>
        <v>0.45000000006984903</v>
      </c>
      <c r="CO103" s="50">
        <f t="shared" si="78"/>
        <v>1</v>
      </c>
      <c r="CP103" s="50">
        <f t="shared" si="79"/>
        <v>0</v>
      </c>
      <c r="CQ103" s="50">
        <f t="shared" si="80"/>
        <v>0</v>
      </c>
      <c r="CR103"/>
    </row>
    <row r="104" spans="2:96" s="393" customFormat="1" ht="15.75" customHeight="1" x14ac:dyDescent="0.15">
      <c r="B104" s="59"/>
      <c r="D104" s="130">
        <v>21</v>
      </c>
      <c r="AA104" s="28" t="s">
        <v>701</v>
      </c>
      <c r="AB104" s="31" t="s">
        <v>977</v>
      </c>
      <c r="AC104" s="247" t="s">
        <v>1440</v>
      </c>
      <c r="AD104" s="314" t="s">
        <v>110</v>
      </c>
      <c r="AE104" s="315" t="s">
        <v>1700</v>
      </c>
      <c r="AF104" s="316" t="s">
        <v>1432</v>
      </c>
      <c r="AG104" s="248" t="s">
        <v>1701</v>
      </c>
      <c r="AH104" s="248" t="s">
        <v>1702</v>
      </c>
      <c r="AI104" s="248" t="s">
        <v>100</v>
      </c>
      <c r="AJ104" s="317">
        <v>2.3833333334187001</v>
      </c>
      <c r="AK104" s="315" t="s">
        <v>1703</v>
      </c>
      <c r="AL104" s="315">
        <v>0</v>
      </c>
      <c r="AM104" s="315">
        <v>0</v>
      </c>
      <c r="AN104" s="42">
        <f t="shared" si="41"/>
        <v>1</v>
      </c>
      <c r="AO104" s="318">
        <v>0</v>
      </c>
      <c r="AP104" s="318">
        <v>0</v>
      </c>
      <c r="AQ104" s="318">
        <v>1</v>
      </c>
      <c r="AR104" s="318">
        <v>0</v>
      </c>
      <c r="AS104" s="318">
        <v>0</v>
      </c>
      <c r="AT104" s="318">
        <v>1</v>
      </c>
      <c r="AU104" s="42">
        <f t="shared" si="42"/>
        <v>0</v>
      </c>
      <c r="AV104" s="318">
        <v>0</v>
      </c>
      <c r="AW104" s="318">
        <v>170</v>
      </c>
      <c r="AX104" s="315"/>
      <c r="AY104" s="636"/>
      <c r="AZ104" s="319"/>
      <c r="BA104" s="319"/>
      <c r="BB104" s="318">
        <v>1</v>
      </c>
      <c r="BC104" s="9"/>
      <c r="BD104" s="9"/>
      <c r="BE104" s="50">
        <f t="shared" si="43"/>
        <v>0</v>
      </c>
      <c r="BF104" s="50">
        <f t="shared" si="44"/>
        <v>0</v>
      </c>
      <c r="BG104" s="50">
        <f t="shared" si="45"/>
        <v>2.3833333334187001</v>
      </c>
      <c r="BH104" s="50">
        <f t="shared" si="46"/>
        <v>1</v>
      </c>
      <c r="BI104" s="50">
        <f t="shared" si="47"/>
        <v>0</v>
      </c>
      <c r="BJ104" s="50">
        <f t="shared" si="48"/>
        <v>0</v>
      </c>
      <c r="BK104" s="50">
        <f t="shared" si="49"/>
        <v>0</v>
      </c>
      <c r="BL104" s="50">
        <f t="shared" si="50"/>
        <v>0</v>
      </c>
      <c r="BM104" s="50">
        <f t="shared" si="51"/>
        <v>2.3833333334187001</v>
      </c>
      <c r="BN104" s="50">
        <f t="shared" si="52"/>
        <v>1</v>
      </c>
      <c r="BO104" s="50">
        <f t="shared" si="53"/>
        <v>0</v>
      </c>
      <c r="BP104" s="50">
        <f t="shared" si="54"/>
        <v>0</v>
      </c>
      <c r="BQ104" s="4" t="str">
        <f t="shared" si="55"/>
        <v>15,05 2025.05.14</v>
      </c>
      <c r="BR104" s="4" t="str">
        <f t="shared" si="56"/>
        <v>17,28 2025.05.14</v>
      </c>
      <c r="BS104" s="4" t="str">
        <f t="shared" si="57"/>
        <v>П</v>
      </c>
      <c r="BT104" s="10">
        <f t="shared" si="58"/>
        <v>2.3833333334187001</v>
      </c>
      <c r="BU104" s="42">
        <f t="shared" si="59"/>
        <v>1</v>
      </c>
      <c r="BV104" s="11">
        <f t="shared" si="60"/>
        <v>0</v>
      </c>
      <c r="BW104" s="11">
        <f t="shared" si="61"/>
        <v>0</v>
      </c>
      <c r="BX104" s="11">
        <f t="shared" si="62"/>
        <v>1</v>
      </c>
      <c r="BY104" s="11">
        <f t="shared" si="63"/>
        <v>0</v>
      </c>
      <c r="BZ104" s="11">
        <f t="shared" si="64"/>
        <v>0</v>
      </c>
      <c r="CA104" s="11">
        <f t="shared" si="65"/>
        <v>1</v>
      </c>
      <c r="CB104" s="42">
        <f t="shared" si="66"/>
        <v>0</v>
      </c>
      <c r="CC104" s="11">
        <f t="shared" si="67"/>
        <v>0</v>
      </c>
      <c r="CD104" s="11">
        <f t="shared" si="68"/>
        <v>1</v>
      </c>
      <c r="CE104" s="4"/>
      <c r="CF104" s="50">
        <f t="shared" si="69"/>
        <v>0</v>
      </c>
      <c r="CG104" s="50">
        <f t="shared" si="70"/>
        <v>0</v>
      </c>
      <c r="CH104" s="50">
        <f t="shared" si="71"/>
        <v>2.3833333334187001</v>
      </c>
      <c r="CI104" s="50">
        <f t="shared" si="72"/>
        <v>1</v>
      </c>
      <c r="CJ104" s="50">
        <f t="shared" si="73"/>
        <v>0</v>
      </c>
      <c r="CK104" s="50">
        <f t="shared" si="74"/>
        <v>0</v>
      </c>
      <c r="CL104" s="50">
        <f t="shared" si="75"/>
        <v>0</v>
      </c>
      <c r="CM104" s="50">
        <f t="shared" si="76"/>
        <v>0</v>
      </c>
      <c r="CN104" s="50">
        <f t="shared" si="77"/>
        <v>2.3833333334187001</v>
      </c>
      <c r="CO104" s="50">
        <f t="shared" si="78"/>
        <v>1</v>
      </c>
      <c r="CP104" s="50">
        <f t="shared" si="79"/>
        <v>0</v>
      </c>
      <c r="CQ104" s="50">
        <f t="shared" si="80"/>
        <v>0</v>
      </c>
      <c r="CR104"/>
    </row>
    <row r="105" spans="2:96" s="394" customFormat="1" ht="15.75" customHeight="1" x14ac:dyDescent="0.15">
      <c r="B105" s="59"/>
      <c r="D105" s="130">
        <v>21</v>
      </c>
      <c r="AA105" s="28" t="s">
        <v>701</v>
      </c>
      <c r="AB105" s="31" t="s">
        <v>978</v>
      </c>
      <c r="AC105" s="247" t="s">
        <v>1440</v>
      </c>
      <c r="AD105" s="314" t="s">
        <v>110</v>
      </c>
      <c r="AE105" s="315" t="s">
        <v>1704</v>
      </c>
      <c r="AF105" s="316" t="s">
        <v>1432</v>
      </c>
      <c r="AG105" s="248" t="s">
        <v>1705</v>
      </c>
      <c r="AH105" s="248" t="s">
        <v>1706</v>
      </c>
      <c r="AI105" s="248" t="s">
        <v>100</v>
      </c>
      <c r="AJ105" s="317">
        <v>9.0500000001629797</v>
      </c>
      <c r="AK105" s="315" t="s">
        <v>1707</v>
      </c>
      <c r="AL105" s="315">
        <v>0</v>
      </c>
      <c r="AM105" s="315">
        <v>0</v>
      </c>
      <c r="AN105" s="42">
        <f t="shared" si="41"/>
        <v>1</v>
      </c>
      <c r="AO105" s="318">
        <v>0</v>
      </c>
      <c r="AP105" s="318">
        <v>0</v>
      </c>
      <c r="AQ105" s="318">
        <v>1</v>
      </c>
      <c r="AR105" s="318">
        <v>0</v>
      </c>
      <c r="AS105" s="318">
        <v>0</v>
      </c>
      <c r="AT105" s="318">
        <v>1</v>
      </c>
      <c r="AU105" s="42">
        <f t="shared" si="42"/>
        <v>0</v>
      </c>
      <c r="AV105" s="318">
        <v>0</v>
      </c>
      <c r="AW105" s="318">
        <v>680</v>
      </c>
      <c r="AX105" s="315"/>
      <c r="AY105" s="636"/>
      <c r="AZ105" s="319"/>
      <c r="BA105" s="319"/>
      <c r="BB105" s="318">
        <v>1</v>
      </c>
      <c r="BC105" s="9"/>
      <c r="BD105" s="9"/>
      <c r="BE105" s="50">
        <f t="shared" si="43"/>
        <v>0</v>
      </c>
      <c r="BF105" s="50">
        <f t="shared" si="44"/>
        <v>0</v>
      </c>
      <c r="BG105" s="50">
        <f t="shared" si="45"/>
        <v>9.0500000001629797</v>
      </c>
      <c r="BH105" s="50">
        <f t="shared" si="46"/>
        <v>1</v>
      </c>
      <c r="BI105" s="50">
        <f t="shared" si="47"/>
        <v>0</v>
      </c>
      <c r="BJ105" s="50">
        <f t="shared" si="48"/>
        <v>0</v>
      </c>
      <c r="BK105" s="50">
        <f t="shared" si="49"/>
        <v>0</v>
      </c>
      <c r="BL105" s="50">
        <f t="shared" si="50"/>
        <v>0</v>
      </c>
      <c r="BM105" s="50">
        <f t="shared" si="51"/>
        <v>9.0500000001629797</v>
      </c>
      <c r="BN105" s="50">
        <f t="shared" si="52"/>
        <v>1</v>
      </c>
      <c r="BO105" s="50">
        <f t="shared" si="53"/>
        <v>0</v>
      </c>
      <c r="BP105" s="50">
        <f t="shared" si="54"/>
        <v>0</v>
      </c>
      <c r="BQ105" s="4" t="str">
        <f t="shared" si="55"/>
        <v>09,21 2025.05.15</v>
      </c>
      <c r="BR105" s="4" t="str">
        <f t="shared" si="56"/>
        <v>18,24 2025.05.15</v>
      </c>
      <c r="BS105" s="4" t="str">
        <f t="shared" si="57"/>
        <v>П</v>
      </c>
      <c r="BT105" s="10">
        <f t="shared" si="58"/>
        <v>9.0500000001629797</v>
      </c>
      <c r="BU105" s="42">
        <f t="shared" si="59"/>
        <v>1</v>
      </c>
      <c r="BV105" s="11">
        <f t="shared" si="60"/>
        <v>0</v>
      </c>
      <c r="BW105" s="11">
        <f t="shared" si="61"/>
        <v>0</v>
      </c>
      <c r="BX105" s="11">
        <f t="shared" si="62"/>
        <v>1</v>
      </c>
      <c r="BY105" s="11">
        <f t="shared" si="63"/>
        <v>0</v>
      </c>
      <c r="BZ105" s="11">
        <f t="shared" si="64"/>
        <v>0</v>
      </c>
      <c r="CA105" s="11">
        <f t="shared" si="65"/>
        <v>1</v>
      </c>
      <c r="CB105" s="42">
        <f t="shared" si="66"/>
        <v>0</v>
      </c>
      <c r="CC105" s="11">
        <f t="shared" si="67"/>
        <v>0</v>
      </c>
      <c r="CD105" s="11">
        <f t="shared" si="68"/>
        <v>1</v>
      </c>
      <c r="CE105" s="4"/>
      <c r="CF105" s="50">
        <f t="shared" si="69"/>
        <v>0</v>
      </c>
      <c r="CG105" s="50">
        <f t="shared" si="70"/>
        <v>0</v>
      </c>
      <c r="CH105" s="50">
        <f t="shared" si="71"/>
        <v>9.0500000001629797</v>
      </c>
      <c r="CI105" s="50">
        <f t="shared" si="72"/>
        <v>1</v>
      </c>
      <c r="CJ105" s="50">
        <f t="shared" si="73"/>
        <v>0</v>
      </c>
      <c r="CK105" s="50">
        <f t="shared" si="74"/>
        <v>0</v>
      </c>
      <c r="CL105" s="50">
        <f t="shared" si="75"/>
        <v>0</v>
      </c>
      <c r="CM105" s="50">
        <f t="shared" si="76"/>
        <v>0</v>
      </c>
      <c r="CN105" s="50">
        <f t="shared" si="77"/>
        <v>9.0500000001629797</v>
      </c>
      <c r="CO105" s="50">
        <f t="shared" si="78"/>
        <v>1</v>
      </c>
      <c r="CP105" s="50">
        <f t="shared" si="79"/>
        <v>0</v>
      </c>
      <c r="CQ105" s="50">
        <f t="shared" si="80"/>
        <v>0</v>
      </c>
      <c r="CR105"/>
    </row>
    <row r="106" spans="2:96" s="395" customFormat="1" ht="15.75" customHeight="1" x14ac:dyDescent="0.15">
      <c r="B106" s="59"/>
      <c r="D106" s="130">
        <v>21</v>
      </c>
      <c r="AA106" s="28" t="s">
        <v>701</v>
      </c>
      <c r="AB106" s="31" t="s">
        <v>979</v>
      </c>
      <c r="AC106" s="247" t="s">
        <v>1440</v>
      </c>
      <c r="AD106" s="314" t="s">
        <v>110</v>
      </c>
      <c r="AE106" s="315" t="s">
        <v>1617</v>
      </c>
      <c r="AF106" s="316" t="s">
        <v>1432</v>
      </c>
      <c r="AG106" s="248" t="s">
        <v>1708</v>
      </c>
      <c r="AH106" s="248" t="s">
        <v>1709</v>
      </c>
      <c r="AI106" s="248" t="s">
        <v>100</v>
      </c>
      <c r="AJ106" s="317">
        <v>9.0499999999883602</v>
      </c>
      <c r="AK106" s="315" t="s">
        <v>1620</v>
      </c>
      <c r="AL106" s="315">
        <v>0</v>
      </c>
      <c r="AM106" s="315">
        <v>0</v>
      </c>
      <c r="AN106" s="42">
        <f t="shared" si="41"/>
        <v>1</v>
      </c>
      <c r="AO106" s="318">
        <v>0</v>
      </c>
      <c r="AP106" s="318">
        <v>0</v>
      </c>
      <c r="AQ106" s="318">
        <v>1</v>
      </c>
      <c r="AR106" s="318">
        <v>0</v>
      </c>
      <c r="AS106" s="318">
        <v>0</v>
      </c>
      <c r="AT106" s="318">
        <v>1</v>
      </c>
      <c r="AU106" s="42">
        <f t="shared" si="42"/>
        <v>0</v>
      </c>
      <c r="AV106" s="318">
        <v>0</v>
      </c>
      <c r="AW106" s="318">
        <v>370</v>
      </c>
      <c r="AX106" s="315"/>
      <c r="AY106" s="636"/>
      <c r="AZ106" s="319"/>
      <c r="BA106" s="319"/>
      <c r="BB106" s="318">
        <v>1</v>
      </c>
      <c r="BC106" s="9"/>
      <c r="BD106" s="9"/>
      <c r="BE106" s="50">
        <f t="shared" si="43"/>
        <v>0</v>
      </c>
      <c r="BF106" s="50">
        <f t="shared" si="44"/>
        <v>0</v>
      </c>
      <c r="BG106" s="50">
        <f t="shared" si="45"/>
        <v>9.0499999999883602</v>
      </c>
      <c r="BH106" s="50">
        <f t="shared" si="46"/>
        <v>1</v>
      </c>
      <c r="BI106" s="50">
        <f t="shared" si="47"/>
        <v>0</v>
      </c>
      <c r="BJ106" s="50">
        <f t="shared" si="48"/>
        <v>0</v>
      </c>
      <c r="BK106" s="50">
        <f t="shared" si="49"/>
        <v>0</v>
      </c>
      <c r="BL106" s="50">
        <f t="shared" si="50"/>
        <v>0</v>
      </c>
      <c r="BM106" s="50">
        <f t="shared" si="51"/>
        <v>9.0499999999883602</v>
      </c>
      <c r="BN106" s="50">
        <f t="shared" si="52"/>
        <v>1</v>
      </c>
      <c r="BO106" s="50">
        <f t="shared" si="53"/>
        <v>0</v>
      </c>
      <c r="BP106" s="50">
        <f t="shared" si="54"/>
        <v>0</v>
      </c>
      <c r="BQ106" s="4" t="str">
        <f t="shared" si="55"/>
        <v>09,26 2025.05.15</v>
      </c>
      <c r="BR106" s="4" t="str">
        <f t="shared" si="56"/>
        <v>18,29 2025.05.15</v>
      </c>
      <c r="BS106" s="4" t="str">
        <f t="shared" si="57"/>
        <v>П</v>
      </c>
      <c r="BT106" s="10">
        <f t="shared" si="58"/>
        <v>9.0499999999883602</v>
      </c>
      <c r="BU106" s="42">
        <f t="shared" si="59"/>
        <v>1</v>
      </c>
      <c r="BV106" s="11">
        <f t="shared" si="60"/>
        <v>0</v>
      </c>
      <c r="BW106" s="11">
        <f t="shared" si="61"/>
        <v>0</v>
      </c>
      <c r="BX106" s="11">
        <f t="shared" si="62"/>
        <v>1</v>
      </c>
      <c r="BY106" s="11">
        <f t="shared" si="63"/>
        <v>0</v>
      </c>
      <c r="BZ106" s="11">
        <f t="shared" si="64"/>
        <v>0</v>
      </c>
      <c r="CA106" s="11">
        <f t="shared" si="65"/>
        <v>1</v>
      </c>
      <c r="CB106" s="42">
        <f t="shared" si="66"/>
        <v>0</v>
      </c>
      <c r="CC106" s="11">
        <f t="shared" si="67"/>
        <v>0</v>
      </c>
      <c r="CD106" s="11">
        <f t="shared" si="68"/>
        <v>1</v>
      </c>
      <c r="CE106" s="4"/>
      <c r="CF106" s="50">
        <f t="shared" si="69"/>
        <v>0</v>
      </c>
      <c r="CG106" s="50">
        <f t="shared" si="70"/>
        <v>0</v>
      </c>
      <c r="CH106" s="50">
        <f t="shared" si="71"/>
        <v>9.0499999999883602</v>
      </c>
      <c r="CI106" s="50">
        <f t="shared" si="72"/>
        <v>1</v>
      </c>
      <c r="CJ106" s="50">
        <f t="shared" si="73"/>
        <v>0</v>
      </c>
      <c r="CK106" s="50">
        <f t="shared" si="74"/>
        <v>0</v>
      </c>
      <c r="CL106" s="50">
        <f t="shared" si="75"/>
        <v>0</v>
      </c>
      <c r="CM106" s="50">
        <f t="shared" si="76"/>
        <v>0</v>
      </c>
      <c r="CN106" s="50">
        <f t="shared" si="77"/>
        <v>9.0499999999883602</v>
      </c>
      <c r="CO106" s="50">
        <f t="shared" si="78"/>
        <v>1</v>
      </c>
      <c r="CP106" s="50">
        <f t="shared" si="79"/>
        <v>0</v>
      </c>
      <c r="CQ106" s="50">
        <f t="shared" si="80"/>
        <v>0</v>
      </c>
      <c r="CR106"/>
    </row>
    <row r="107" spans="2:96" s="396" customFormat="1" ht="15.75" customHeight="1" x14ac:dyDescent="0.15">
      <c r="B107" s="59"/>
      <c r="D107" s="130">
        <v>21</v>
      </c>
      <c r="AA107" s="28" t="s">
        <v>701</v>
      </c>
      <c r="AB107" s="31" t="s">
        <v>980</v>
      </c>
      <c r="AC107" s="247" t="s">
        <v>1440</v>
      </c>
      <c r="AD107" s="314" t="s">
        <v>110</v>
      </c>
      <c r="AE107" s="315" t="s">
        <v>1483</v>
      </c>
      <c r="AF107" s="316" t="s">
        <v>1432</v>
      </c>
      <c r="AG107" s="248" t="s">
        <v>1710</v>
      </c>
      <c r="AH107" s="248" t="s">
        <v>1710</v>
      </c>
      <c r="AI107" s="248" t="s">
        <v>122</v>
      </c>
      <c r="AJ107" s="317">
        <v>0</v>
      </c>
      <c r="AK107" s="315" t="s">
        <v>1485</v>
      </c>
      <c r="AL107" s="315">
        <v>0</v>
      </c>
      <c r="AM107" s="315">
        <v>0</v>
      </c>
      <c r="AN107" s="42">
        <f t="shared" si="41"/>
        <v>1</v>
      </c>
      <c r="AO107" s="318">
        <v>0</v>
      </c>
      <c r="AP107" s="318">
        <v>0</v>
      </c>
      <c r="AQ107" s="318">
        <v>1</v>
      </c>
      <c r="AR107" s="318">
        <v>0</v>
      </c>
      <c r="AS107" s="318">
        <v>0</v>
      </c>
      <c r="AT107" s="318">
        <v>1</v>
      </c>
      <c r="AU107" s="42">
        <f t="shared" si="42"/>
        <v>0</v>
      </c>
      <c r="AV107" s="318">
        <v>0</v>
      </c>
      <c r="AW107" s="318">
        <v>549</v>
      </c>
      <c r="AX107" s="315"/>
      <c r="AY107" s="636" t="s">
        <v>2060</v>
      </c>
      <c r="AZ107" s="319" t="s">
        <v>198</v>
      </c>
      <c r="BA107" s="319" t="s">
        <v>2041</v>
      </c>
      <c r="BB107" s="318">
        <v>0</v>
      </c>
      <c r="BC107" s="9"/>
      <c r="BD107" s="9"/>
      <c r="BE107" s="50">
        <f t="shared" si="43"/>
        <v>0</v>
      </c>
      <c r="BF107" s="50">
        <f t="shared" si="44"/>
        <v>0</v>
      </c>
      <c r="BG107" s="50">
        <f t="shared" si="45"/>
        <v>0</v>
      </c>
      <c r="BH107" s="50">
        <f t="shared" si="46"/>
        <v>0</v>
      </c>
      <c r="BI107" s="50">
        <f t="shared" si="47"/>
        <v>0</v>
      </c>
      <c r="BJ107" s="50">
        <f t="shared" si="48"/>
        <v>0</v>
      </c>
      <c r="BK107" s="50">
        <f t="shared" si="49"/>
        <v>0</v>
      </c>
      <c r="BL107" s="50">
        <f t="shared" si="50"/>
        <v>0</v>
      </c>
      <c r="BM107" s="50">
        <f t="shared" si="51"/>
        <v>0</v>
      </c>
      <c r="BN107" s="50">
        <f t="shared" si="52"/>
        <v>0</v>
      </c>
      <c r="BO107" s="50">
        <f t="shared" si="53"/>
        <v>0</v>
      </c>
      <c r="BP107" s="50">
        <f t="shared" si="54"/>
        <v>0</v>
      </c>
      <c r="BQ107" s="4" t="str">
        <f t="shared" si="55"/>
        <v>12,58 2025.05.15</v>
      </c>
      <c r="BR107" s="4" t="str">
        <f t="shared" si="56"/>
        <v>12,58 2025.05.15</v>
      </c>
      <c r="BS107" s="4" t="str">
        <f t="shared" si="57"/>
        <v>В</v>
      </c>
      <c r="BT107" s="10">
        <f t="shared" si="58"/>
        <v>0</v>
      </c>
      <c r="BU107" s="42">
        <f t="shared" si="59"/>
        <v>1</v>
      </c>
      <c r="BV107" s="11">
        <f t="shared" si="60"/>
        <v>0</v>
      </c>
      <c r="BW107" s="11">
        <f t="shared" si="61"/>
        <v>0</v>
      </c>
      <c r="BX107" s="11">
        <f t="shared" si="62"/>
        <v>1</v>
      </c>
      <c r="BY107" s="11">
        <f t="shared" si="63"/>
        <v>0</v>
      </c>
      <c r="BZ107" s="11">
        <f t="shared" si="64"/>
        <v>0</v>
      </c>
      <c r="CA107" s="11">
        <f t="shared" si="65"/>
        <v>1</v>
      </c>
      <c r="CB107" s="42">
        <f t="shared" si="66"/>
        <v>0</v>
      </c>
      <c r="CC107" s="11">
        <f t="shared" si="67"/>
        <v>0</v>
      </c>
      <c r="CD107" s="11">
        <f t="shared" si="68"/>
        <v>0</v>
      </c>
      <c r="CE107" s="4"/>
      <c r="CF107" s="50">
        <f t="shared" si="69"/>
        <v>0</v>
      </c>
      <c r="CG107" s="50">
        <f t="shared" si="70"/>
        <v>0</v>
      </c>
      <c r="CH107" s="50">
        <f t="shared" si="71"/>
        <v>0</v>
      </c>
      <c r="CI107" s="50">
        <f t="shared" si="72"/>
        <v>0</v>
      </c>
      <c r="CJ107" s="50">
        <f t="shared" si="73"/>
        <v>0</v>
      </c>
      <c r="CK107" s="50">
        <f t="shared" si="74"/>
        <v>0</v>
      </c>
      <c r="CL107" s="50">
        <f t="shared" si="75"/>
        <v>0</v>
      </c>
      <c r="CM107" s="50">
        <f t="shared" si="76"/>
        <v>0</v>
      </c>
      <c r="CN107" s="50">
        <f t="shared" si="77"/>
        <v>0</v>
      </c>
      <c r="CO107" s="50">
        <f t="shared" si="78"/>
        <v>0</v>
      </c>
      <c r="CP107" s="50">
        <f t="shared" si="79"/>
        <v>0</v>
      </c>
      <c r="CQ107" s="50">
        <f t="shared" si="80"/>
        <v>0</v>
      </c>
      <c r="CR107"/>
    </row>
    <row r="108" spans="2:96" s="397" customFormat="1" ht="15.75" customHeight="1" x14ac:dyDescent="0.15">
      <c r="B108" s="59"/>
      <c r="D108" s="130">
        <v>21</v>
      </c>
      <c r="AA108" s="28" t="s">
        <v>701</v>
      </c>
      <c r="AB108" s="31" t="s">
        <v>981</v>
      </c>
      <c r="AC108" s="247" t="s">
        <v>1440</v>
      </c>
      <c r="AD108" s="314" t="s">
        <v>110</v>
      </c>
      <c r="AE108" s="315" t="s">
        <v>1441</v>
      </c>
      <c r="AF108" s="316" t="s">
        <v>1432</v>
      </c>
      <c r="AG108" s="248" t="s">
        <v>1711</v>
      </c>
      <c r="AH108" s="248" t="s">
        <v>1712</v>
      </c>
      <c r="AI108" s="248" t="s">
        <v>100</v>
      </c>
      <c r="AJ108" s="317">
        <v>1.6166666666977101</v>
      </c>
      <c r="AK108" s="315" t="s">
        <v>1444</v>
      </c>
      <c r="AL108" s="315">
        <v>0</v>
      </c>
      <c r="AM108" s="315">
        <v>0</v>
      </c>
      <c r="AN108" s="42">
        <f t="shared" si="41"/>
        <v>1</v>
      </c>
      <c r="AO108" s="318">
        <v>0</v>
      </c>
      <c r="AP108" s="318">
        <v>0</v>
      </c>
      <c r="AQ108" s="318">
        <v>1</v>
      </c>
      <c r="AR108" s="318">
        <v>0</v>
      </c>
      <c r="AS108" s="318">
        <v>0</v>
      </c>
      <c r="AT108" s="318">
        <v>1</v>
      </c>
      <c r="AU108" s="42">
        <f t="shared" si="42"/>
        <v>0</v>
      </c>
      <c r="AV108" s="318">
        <v>0</v>
      </c>
      <c r="AW108" s="318">
        <v>50</v>
      </c>
      <c r="AX108" s="315"/>
      <c r="AY108" s="636"/>
      <c r="AZ108" s="319"/>
      <c r="BA108" s="319"/>
      <c r="BB108" s="318">
        <v>1</v>
      </c>
      <c r="BC108" s="9"/>
      <c r="BD108" s="9"/>
      <c r="BE108" s="50">
        <f t="shared" si="43"/>
        <v>0</v>
      </c>
      <c r="BF108" s="50">
        <f t="shared" si="44"/>
        <v>0</v>
      </c>
      <c r="BG108" s="50">
        <f t="shared" si="45"/>
        <v>1.6166666666977101</v>
      </c>
      <c r="BH108" s="50">
        <f t="shared" si="46"/>
        <v>1</v>
      </c>
      <c r="BI108" s="50">
        <f t="shared" si="47"/>
        <v>0</v>
      </c>
      <c r="BJ108" s="50">
        <f t="shared" si="48"/>
        <v>0</v>
      </c>
      <c r="BK108" s="50">
        <f t="shared" si="49"/>
        <v>0</v>
      </c>
      <c r="BL108" s="50">
        <f t="shared" si="50"/>
        <v>0</v>
      </c>
      <c r="BM108" s="50">
        <f t="shared" si="51"/>
        <v>1.6166666666977101</v>
      </c>
      <c r="BN108" s="50">
        <f t="shared" si="52"/>
        <v>1</v>
      </c>
      <c r="BO108" s="50">
        <f t="shared" si="53"/>
        <v>0</v>
      </c>
      <c r="BP108" s="50">
        <f t="shared" si="54"/>
        <v>0</v>
      </c>
      <c r="BQ108" s="4" t="str">
        <f t="shared" si="55"/>
        <v>09,49 2025.05.16</v>
      </c>
      <c r="BR108" s="4" t="str">
        <f t="shared" si="56"/>
        <v>11,26 2025.05.16</v>
      </c>
      <c r="BS108" s="4" t="str">
        <f t="shared" si="57"/>
        <v>П</v>
      </c>
      <c r="BT108" s="10">
        <f t="shared" si="58"/>
        <v>1.6166666666977101</v>
      </c>
      <c r="BU108" s="42">
        <f t="shared" si="59"/>
        <v>1</v>
      </c>
      <c r="BV108" s="11">
        <f t="shared" si="60"/>
        <v>0</v>
      </c>
      <c r="BW108" s="11">
        <f t="shared" si="61"/>
        <v>0</v>
      </c>
      <c r="BX108" s="11">
        <f t="shared" si="62"/>
        <v>1</v>
      </c>
      <c r="BY108" s="11">
        <f t="shared" si="63"/>
        <v>0</v>
      </c>
      <c r="BZ108" s="11">
        <f t="shared" si="64"/>
        <v>0</v>
      </c>
      <c r="CA108" s="11">
        <f t="shared" si="65"/>
        <v>1</v>
      </c>
      <c r="CB108" s="42">
        <f t="shared" si="66"/>
        <v>0</v>
      </c>
      <c r="CC108" s="11">
        <f t="shared" si="67"/>
        <v>0</v>
      </c>
      <c r="CD108" s="11">
        <f t="shared" si="68"/>
        <v>1</v>
      </c>
      <c r="CE108" s="4"/>
      <c r="CF108" s="50">
        <f t="shared" si="69"/>
        <v>0</v>
      </c>
      <c r="CG108" s="50">
        <f t="shared" si="70"/>
        <v>0</v>
      </c>
      <c r="CH108" s="50">
        <f t="shared" si="71"/>
        <v>1.6166666666977101</v>
      </c>
      <c r="CI108" s="50">
        <f t="shared" si="72"/>
        <v>1</v>
      </c>
      <c r="CJ108" s="50">
        <f t="shared" si="73"/>
        <v>0</v>
      </c>
      <c r="CK108" s="50">
        <f t="shared" si="74"/>
        <v>0</v>
      </c>
      <c r="CL108" s="50">
        <f t="shared" si="75"/>
        <v>0</v>
      </c>
      <c r="CM108" s="50">
        <f t="shared" si="76"/>
        <v>0</v>
      </c>
      <c r="CN108" s="50">
        <f t="shared" si="77"/>
        <v>1.6166666666977101</v>
      </c>
      <c r="CO108" s="50">
        <f t="shared" si="78"/>
        <v>1</v>
      </c>
      <c r="CP108" s="50">
        <f t="shared" si="79"/>
        <v>0</v>
      </c>
      <c r="CQ108" s="50">
        <f t="shared" si="80"/>
        <v>0</v>
      </c>
      <c r="CR108"/>
    </row>
    <row r="109" spans="2:96" s="398" customFormat="1" ht="15.75" customHeight="1" x14ac:dyDescent="0.15">
      <c r="B109" s="59"/>
      <c r="D109" s="130">
        <v>21</v>
      </c>
      <c r="AA109" s="28" t="s">
        <v>701</v>
      </c>
      <c r="AB109" s="31" t="s">
        <v>982</v>
      </c>
      <c r="AC109" s="247" t="s">
        <v>1440</v>
      </c>
      <c r="AD109" s="314" t="s">
        <v>110</v>
      </c>
      <c r="AE109" s="315" t="s">
        <v>1713</v>
      </c>
      <c r="AF109" s="316" t="s">
        <v>1432</v>
      </c>
      <c r="AG109" s="248" t="s">
        <v>1714</v>
      </c>
      <c r="AH109" s="248" t="s">
        <v>1714</v>
      </c>
      <c r="AI109" s="248" t="s">
        <v>122</v>
      </c>
      <c r="AJ109" s="317">
        <v>0</v>
      </c>
      <c r="AK109" s="315" t="s">
        <v>1715</v>
      </c>
      <c r="AL109" s="315">
        <v>0</v>
      </c>
      <c r="AM109" s="315">
        <v>0</v>
      </c>
      <c r="AN109" s="42">
        <f t="shared" si="41"/>
        <v>1</v>
      </c>
      <c r="AO109" s="318">
        <v>0</v>
      </c>
      <c r="AP109" s="318">
        <v>0</v>
      </c>
      <c r="AQ109" s="318">
        <v>1</v>
      </c>
      <c r="AR109" s="318">
        <v>0</v>
      </c>
      <c r="AS109" s="318">
        <v>0</v>
      </c>
      <c r="AT109" s="318">
        <v>1</v>
      </c>
      <c r="AU109" s="42">
        <f t="shared" si="42"/>
        <v>0</v>
      </c>
      <c r="AV109" s="318">
        <v>0</v>
      </c>
      <c r="AW109" s="318">
        <v>249</v>
      </c>
      <c r="AX109" s="315"/>
      <c r="AY109" s="636" t="s">
        <v>2061</v>
      </c>
      <c r="AZ109" s="319" t="s">
        <v>201</v>
      </c>
      <c r="BA109" s="319" t="s">
        <v>2041</v>
      </c>
      <c r="BB109" s="318">
        <v>0</v>
      </c>
      <c r="BC109" s="9"/>
      <c r="BD109" s="9"/>
      <c r="BE109" s="50">
        <f t="shared" si="43"/>
        <v>0</v>
      </c>
      <c r="BF109" s="50">
        <f t="shared" si="44"/>
        <v>0</v>
      </c>
      <c r="BG109" s="50">
        <f t="shared" si="45"/>
        <v>0</v>
      </c>
      <c r="BH109" s="50">
        <f t="shared" si="46"/>
        <v>0</v>
      </c>
      <c r="BI109" s="50">
        <f t="shared" si="47"/>
        <v>0</v>
      </c>
      <c r="BJ109" s="50">
        <f t="shared" si="48"/>
        <v>0</v>
      </c>
      <c r="BK109" s="50">
        <f t="shared" si="49"/>
        <v>0</v>
      </c>
      <c r="BL109" s="50">
        <f t="shared" si="50"/>
        <v>0</v>
      </c>
      <c r="BM109" s="50">
        <f t="shared" si="51"/>
        <v>0</v>
      </c>
      <c r="BN109" s="50">
        <f t="shared" si="52"/>
        <v>0</v>
      </c>
      <c r="BO109" s="50">
        <f t="shared" si="53"/>
        <v>0</v>
      </c>
      <c r="BP109" s="50">
        <f t="shared" si="54"/>
        <v>0</v>
      </c>
      <c r="BQ109" s="4" t="str">
        <f t="shared" si="55"/>
        <v>17,48 2025.05.17</v>
      </c>
      <c r="BR109" s="4" t="str">
        <f t="shared" si="56"/>
        <v>17,48 2025.05.17</v>
      </c>
      <c r="BS109" s="4" t="str">
        <f t="shared" si="57"/>
        <v>В</v>
      </c>
      <c r="BT109" s="10">
        <f t="shared" si="58"/>
        <v>0</v>
      </c>
      <c r="BU109" s="42">
        <f t="shared" si="59"/>
        <v>1</v>
      </c>
      <c r="BV109" s="11">
        <f t="shared" si="60"/>
        <v>0</v>
      </c>
      <c r="BW109" s="11">
        <f t="shared" si="61"/>
        <v>0</v>
      </c>
      <c r="BX109" s="11">
        <f t="shared" si="62"/>
        <v>1</v>
      </c>
      <c r="BY109" s="11">
        <f t="shared" si="63"/>
        <v>0</v>
      </c>
      <c r="BZ109" s="11">
        <f t="shared" si="64"/>
        <v>0</v>
      </c>
      <c r="CA109" s="11">
        <f t="shared" si="65"/>
        <v>1</v>
      </c>
      <c r="CB109" s="42">
        <f t="shared" si="66"/>
        <v>0</v>
      </c>
      <c r="CC109" s="11">
        <f t="shared" si="67"/>
        <v>0</v>
      </c>
      <c r="CD109" s="11">
        <f t="shared" si="68"/>
        <v>0</v>
      </c>
      <c r="CE109" s="4"/>
      <c r="CF109" s="50">
        <f t="shared" si="69"/>
        <v>0</v>
      </c>
      <c r="CG109" s="50">
        <f t="shared" si="70"/>
        <v>0</v>
      </c>
      <c r="CH109" s="50">
        <f t="shared" si="71"/>
        <v>0</v>
      </c>
      <c r="CI109" s="50">
        <f t="shared" si="72"/>
        <v>0</v>
      </c>
      <c r="CJ109" s="50">
        <f t="shared" si="73"/>
        <v>0</v>
      </c>
      <c r="CK109" s="50">
        <f t="shared" si="74"/>
        <v>0</v>
      </c>
      <c r="CL109" s="50">
        <f t="shared" si="75"/>
        <v>0</v>
      </c>
      <c r="CM109" s="50">
        <f t="shared" si="76"/>
        <v>0</v>
      </c>
      <c r="CN109" s="50">
        <f t="shared" si="77"/>
        <v>0</v>
      </c>
      <c r="CO109" s="50">
        <f t="shared" si="78"/>
        <v>0</v>
      </c>
      <c r="CP109" s="50">
        <f t="shared" si="79"/>
        <v>0</v>
      </c>
      <c r="CQ109" s="50">
        <f t="shared" si="80"/>
        <v>0</v>
      </c>
      <c r="CR109"/>
    </row>
    <row r="110" spans="2:96" s="399" customFormat="1" ht="15.75" customHeight="1" x14ac:dyDescent="0.15">
      <c r="B110" s="59"/>
      <c r="D110" s="130">
        <v>21</v>
      </c>
      <c r="AA110" s="28" t="s">
        <v>701</v>
      </c>
      <c r="AB110" s="31" t="s">
        <v>983</v>
      </c>
      <c r="AC110" s="247" t="s">
        <v>1440</v>
      </c>
      <c r="AD110" s="314" t="s">
        <v>110</v>
      </c>
      <c r="AE110" s="315" t="s">
        <v>1716</v>
      </c>
      <c r="AF110" s="316" t="s">
        <v>1432</v>
      </c>
      <c r="AG110" s="248" t="s">
        <v>1717</v>
      </c>
      <c r="AH110" s="248" t="s">
        <v>1718</v>
      </c>
      <c r="AI110" s="248" t="s">
        <v>100</v>
      </c>
      <c r="AJ110" s="317">
        <v>1.1333333333605</v>
      </c>
      <c r="AK110" s="315" t="s">
        <v>1719</v>
      </c>
      <c r="AL110" s="315">
        <v>0</v>
      </c>
      <c r="AM110" s="315">
        <v>0</v>
      </c>
      <c r="AN110" s="42">
        <f t="shared" si="41"/>
        <v>1</v>
      </c>
      <c r="AO110" s="318">
        <v>0</v>
      </c>
      <c r="AP110" s="318">
        <v>0</v>
      </c>
      <c r="AQ110" s="318">
        <v>1</v>
      </c>
      <c r="AR110" s="318">
        <v>0</v>
      </c>
      <c r="AS110" s="318">
        <v>0</v>
      </c>
      <c r="AT110" s="318">
        <v>1</v>
      </c>
      <c r="AU110" s="42">
        <f t="shared" si="42"/>
        <v>0</v>
      </c>
      <c r="AV110" s="318">
        <v>0</v>
      </c>
      <c r="AW110" s="318">
        <v>530</v>
      </c>
      <c r="AX110" s="315"/>
      <c r="AY110" s="636"/>
      <c r="AZ110" s="319"/>
      <c r="BA110" s="319"/>
      <c r="BB110" s="318">
        <v>1</v>
      </c>
      <c r="BC110" s="9"/>
      <c r="BD110" s="9"/>
      <c r="BE110" s="50">
        <f t="shared" si="43"/>
        <v>0</v>
      </c>
      <c r="BF110" s="50">
        <f t="shared" si="44"/>
        <v>0</v>
      </c>
      <c r="BG110" s="50">
        <f t="shared" si="45"/>
        <v>1.1333333333605</v>
      </c>
      <c r="BH110" s="50">
        <f t="shared" si="46"/>
        <v>1</v>
      </c>
      <c r="BI110" s="50">
        <f t="shared" si="47"/>
        <v>0</v>
      </c>
      <c r="BJ110" s="50">
        <f t="shared" si="48"/>
        <v>0</v>
      </c>
      <c r="BK110" s="50">
        <f t="shared" si="49"/>
        <v>0</v>
      </c>
      <c r="BL110" s="50">
        <f t="shared" si="50"/>
        <v>0</v>
      </c>
      <c r="BM110" s="50">
        <f t="shared" si="51"/>
        <v>1.1333333333605</v>
      </c>
      <c r="BN110" s="50">
        <f t="shared" si="52"/>
        <v>1</v>
      </c>
      <c r="BO110" s="50">
        <f t="shared" si="53"/>
        <v>0</v>
      </c>
      <c r="BP110" s="50">
        <f t="shared" si="54"/>
        <v>0</v>
      </c>
      <c r="BQ110" s="4" t="str">
        <f t="shared" si="55"/>
        <v>10,45 2025.05.20</v>
      </c>
      <c r="BR110" s="4" t="str">
        <f t="shared" si="56"/>
        <v>11,53 2025.05.20</v>
      </c>
      <c r="BS110" s="4" t="str">
        <f t="shared" si="57"/>
        <v>П</v>
      </c>
      <c r="BT110" s="10">
        <f t="shared" si="58"/>
        <v>1.1333333333605</v>
      </c>
      <c r="BU110" s="42">
        <f t="shared" si="59"/>
        <v>1</v>
      </c>
      <c r="BV110" s="11">
        <f t="shared" si="60"/>
        <v>0</v>
      </c>
      <c r="BW110" s="11">
        <f t="shared" si="61"/>
        <v>0</v>
      </c>
      <c r="BX110" s="11">
        <f t="shared" si="62"/>
        <v>1</v>
      </c>
      <c r="BY110" s="11">
        <f t="shared" si="63"/>
        <v>0</v>
      </c>
      <c r="BZ110" s="11">
        <f t="shared" si="64"/>
        <v>0</v>
      </c>
      <c r="CA110" s="11">
        <f t="shared" si="65"/>
        <v>1</v>
      </c>
      <c r="CB110" s="42">
        <f t="shared" si="66"/>
        <v>0</v>
      </c>
      <c r="CC110" s="11">
        <f t="shared" si="67"/>
        <v>0</v>
      </c>
      <c r="CD110" s="11">
        <f t="shared" si="68"/>
        <v>1</v>
      </c>
      <c r="CE110" s="4"/>
      <c r="CF110" s="50">
        <f t="shared" si="69"/>
        <v>0</v>
      </c>
      <c r="CG110" s="50">
        <f t="shared" si="70"/>
        <v>0</v>
      </c>
      <c r="CH110" s="50">
        <f t="shared" si="71"/>
        <v>1.1333333333605</v>
      </c>
      <c r="CI110" s="50">
        <f t="shared" si="72"/>
        <v>1</v>
      </c>
      <c r="CJ110" s="50">
        <f t="shared" si="73"/>
        <v>0</v>
      </c>
      <c r="CK110" s="50">
        <f t="shared" si="74"/>
        <v>0</v>
      </c>
      <c r="CL110" s="50">
        <f t="shared" si="75"/>
        <v>0</v>
      </c>
      <c r="CM110" s="50">
        <f t="shared" si="76"/>
        <v>0</v>
      </c>
      <c r="CN110" s="50">
        <f t="shared" si="77"/>
        <v>1.1333333333605</v>
      </c>
      <c r="CO110" s="50">
        <f t="shared" si="78"/>
        <v>1</v>
      </c>
      <c r="CP110" s="50">
        <f t="shared" si="79"/>
        <v>0</v>
      </c>
      <c r="CQ110" s="50">
        <f t="shared" si="80"/>
        <v>0</v>
      </c>
      <c r="CR110"/>
    </row>
    <row r="111" spans="2:96" s="400" customFormat="1" ht="15.75" customHeight="1" x14ac:dyDescent="0.15">
      <c r="B111" s="59"/>
      <c r="D111" s="130">
        <v>21</v>
      </c>
      <c r="AA111" s="28" t="s">
        <v>701</v>
      </c>
      <c r="AB111" s="31" t="s">
        <v>984</v>
      </c>
      <c r="AC111" s="247" t="s">
        <v>1430</v>
      </c>
      <c r="AD111" s="314" t="s">
        <v>110</v>
      </c>
      <c r="AE111" s="315" t="s">
        <v>1720</v>
      </c>
      <c r="AF111" s="316" t="s">
        <v>1432</v>
      </c>
      <c r="AG111" s="248" t="s">
        <v>1721</v>
      </c>
      <c r="AH111" s="248" t="s">
        <v>1722</v>
      </c>
      <c r="AI111" s="248" t="s">
        <v>122</v>
      </c>
      <c r="AJ111" s="317">
        <v>2.91666666674428</v>
      </c>
      <c r="AK111" s="315" t="s">
        <v>1723</v>
      </c>
      <c r="AL111" s="315">
        <v>0</v>
      </c>
      <c r="AM111" s="315">
        <v>0</v>
      </c>
      <c r="AN111" s="42">
        <f t="shared" si="41"/>
        <v>1</v>
      </c>
      <c r="AO111" s="318">
        <v>0</v>
      </c>
      <c r="AP111" s="318">
        <v>0</v>
      </c>
      <c r="AQ111" s="318">
        <v>1</v>
      </c>
      <c r="AR111" s="318">
        <v>0</v>
      </c>
      <c r="AS111" s="318">
        <v>0</v>
      </c>
      <c r="AT111" s="318">
        <v>1</v>
      </c>
      <c r="AU111" s="42">
        <f t="shared" si="42"/>
        <v>0</v>
      </c>
      <c r="AV111" s="318">
        <v>0</v>
      </c>
      <c r="AW111" s="318">
        <v>713</v>
      </c>
      <c r="AX111" s="315"/>
      <c r="AY111" s="636" t="s">
        <v>2062</v>
      </c>
      <c r="AZ111" s="319" t="s">
        <v>201</v>
      </c>
      <c r="BA111" s="319" t="s">
        <v>2041</v>
      </c>
      <c r="BB111" s="318">
        <v>1</v>
      </c>
      <c r="BC111" s="9"/>
      <c r="BD111" s="9"/>
      <c r="BE111" s="50">
        <f t="shared" si="43"/>
        <v>0</v>
      </c>
      <c r="BF111" s="50">
        <f t="shared" si="44"/>
        <v>0</v>
      </c>
      <c r="BG111" s="50">
        <f t="shared" si="45"/>
        <v>0</v>
      </c>
      <c r="BH111" s="50">
        <f t="shared" si="46"/>
        <v>0</v>
      </c>
      <c r="BI111" s="50">
        <f t="shared" si="47"/>
        <v>0</v>
      </c>
      <c r="BJ111" s="50">
        <f t="shared" si="48"/>
        <v>0</v>
      </c>
      <c r="BK111" s="50">
        <f t="shared" si="49"/>
        <v>0</v>
      </c>
      <c r="BL111" s="50">
        <f t="shared" si="50"/>
        <v>0</v>
      </c>
      <c r="BM111" s="50">
        <f t="shared" si="51"/>
        <v>0</v>
      </c>
      <c r="BN111" s="50">
        <f t="shared" si="52"/>
        <v>0</v>
      </c>
      <c r="BO111" s="50">
        <f t="shared" si="53"/>
        <v>0</v>
      </c>
      <c r="BP111" s="50">
        <f t="shared" si="54"/>
        <v>0</v>
      </c>
      <c r="BQ111" s="4" t="str">
        <f t="shared" si="55"/>
        <v>18,05 2025.05.21</v>
      </c>
      <c r="BR111" s="4" t="str">
        <f t="shared" si="56"/>
        <v>21,00 2025.05.21</v>
      </c>
      <c r="BS111" s="4" t="str">
        <f t="shared" si="57"/>
        <v>В</v>
      </c>
      <c r="BT111" s="10">
        <f t="shared" si="58"/>
        <v>2.91666666674428</v>
      </c>
      <c r="BU111" s="42">
        <f t="shared" si="59"/>
        <v>1</v>
      </c>
      <c r="BV111" s="11">
        <f t="shared" si="60"/>
        <v>0</v>
      </c>
      <c r="BW111" s="11">
        <f t="shared" si="61"/>
        <v>0</v>
      </c>
      <c r="BX111" s="11">
        <f t="shared" si="62"/>
        <v>1</v>
      </c>
      <c r="BY111" s="11">
        <f t="shared" si="63"/>
        <v>0</v>
      </c>
      <c r="BZ111" s="11">
        <f t="shared" si="64"/>
        <v>0</v>
      </c>
      <c r="CA111" s="11">
        <f t="shared" si="65"/>
        <v>1</v>
      </c>
      <c r="CB111" s="42">
        <f t="shared" si="66"/>
        <v>0</v>
      </c>
      <c r="CC111" s="11">
        <f t="shared" si="67"/>
        <v>0</v>
      </c>
      <c r="CD111" s="11">
        <f t="shared" si="68"/>
        <v>1</v>
      </c>
      <c r="CE111" s="4"/>
      <c r="CF111" s="50">
        <f t="shared" si="69"/>
        <v>0</v>
      </c>
      <c r="CG111" s="50">
        <f t="shared" si="70"/>
        <v>0</v>
      </c>
      <c r="CH111" s="50">
        <f t="shared" si="71"/>
        <v>0</v>
      </c>
      <c r="CI111" s="50">
        <f t="shared" si="72"/>
        <v>0</v>
      </c>
      <c r="CJ111" s="50">
        <f t="shared" si="73"/>
        <v>0</v>
      </c>
      <c r="CK111" s="50">
        <f t="shared" si="74"/>
        <v>0</v>
      </c>
      <c r="CL111" s="50">
        <f t="shared" si="75"/>
        <v>0</v>
      </c>
      <c r="CM111" s="50">
        <f t="shared" si="76"/>
        <v>0</v>
      </c>
      <c r="CN111" s="50">
        <f t="shared" si="77"/>
        <v>0</v>
      </c>
      <c r="CO111" s="50">
        <f t="shared" si="78"/>
        <v>0</v>
      </c>
      <c r="CP111" s="50">
        <f t="shared" si="79"/>
        <v>0</v>
      </c>
      <c r="CQ111" s="50">
        <f t="shared" si="80"/>
        <v>0</v>
      </c>
      <c r="CR111"/>
    </row>
    <row r="112" spans="2:96" s="401" customFormat="1" ht="15.75" customHeight="1" x14ac:dyDescent="0.15">
      <c r="B112" s="59"/>
      <c r="D112" s="130">
        <v>21</v>
      </c>
      <c r="AA112" s="28" t="s">
        <v>701</v>
      </c>
      <c r="AB112" s="31" t="s">
        <v>985</v>
      </c>
      <c r="AC112" s="247" t="s">
        <v>1435</v>
      </c>
      <c r="AD112" s="314" t="s">
        <v>110</v>
      </c>
      <c r="AE112" s="315" t="s">
        <v>1486</v>
      </c>
      <c r="AF112" s="316" t="s">
        <v>1432</v>
      </c>
      <c r="AG112" s="248" t="s">
        <v>1724</v>
      </c>
      <c r="AH112" s="248" t="s">
        <v>1725</v>
      </c>
      <c r="AI112" s="248" t="s">
        <v>122</v>
      </c>
      <c r="AJ112" s="317">
        <v>0.36666666663950298</v>
      </c>
      <c r="AK112" s="315" t="s">
        <v>1489</v>
      </c>
      <c r="AL112" s="315">
        <v>0</v>
      </c>
      <c r="AM112" s="315">
        <v>0</v>
      </c>
      <c r="AN112" s="42">
        <f t="shared" si="41"/>
        <v>1</v>
      </c>
      <c r="AO112" s="318">
        <v>0</v>
      </c>
      <c r="AP112" s="318">
        <v>0</v>
      </c>
      <c r="AQ112" s="318">
        <v>1</v>
      </c>
      <c r="AR112" s="318">
        <v>0</v>
      </c>
      <c r="AS112" s="318">
        <v>0</v>
      </c>
      <c r="AT112" s="318">
        <v>1</v>
      </c>
      <c r="AU112" s="42">
        <f t="shared" si="42"/>
        <v>0</v>
      </c>
      <c r="AV112" s="318">
        <v>0</v>
      </c>
      <c r="AW112" s="318">
        <v>1030</v>
      </c>
      <c r="AX112" s="315"/>
      <c r="AY112" s="636" t="s">
        <v>2063</v>
      </c>
      <c r="AZ112" s="319" t="s">
        <v>199</v>
      </c>
      <c r="BA112" s="319" t="s">
        <v>2041</v>
      </c>
      <c r="BB112" s="318">
        <v>0</v>
      </c>
      <c r="BC112" s="9"/>
      <c r="BD112" s="9"/>
      <c r="BE112" s="50">
        <f t="shared" si="43"/>
        <v>0</v>
      </c>
      <c r="BF112" s="50">
        <f t="shared" si="44"/>
        <v>0</v>
      </c>
      <c r="BG112" s="50">
        <f t="shared" si="45"/>
        <v>0</v>
      </c>
      <c r="BH112" s="50">
        <f t="shared" si="46"/>
        <v>0</v>
      </c>
      <c r="BI112" s="50">
        <f t="shared" si="47"/>
        <v>0</v>
      </c>
      <c r="BJ112" s="50">
        <f t="shared" si="48"/>
        <v>0</v>
      </c>
      <c r="BK112" s="50">
        <f t="shared" si="49"/>
        <v>0</v>
      </c>
      <c r="BL112" s="50">
        <f t="shared" si="50"/>
        <v>0</v>
      </c>
      <c r="BM112" s="50">
        <f t="shared" si="51"/>
        <v>0</v>
      </c>
      <c r="BN112" s="50">
        <f t="shared" si="52"/>
        <v>0</v>
      </c>
      <c r="BO112" s="50">
        <f t="shared" si="53"/>
        <v>0</v>
      </c>
      <c r="BP112" s="50">
        <f t="shared" si="54"/>
        <v>0</v>
      </c>
      <c r="BQ112" s="4" t="str">
        <f t="shared" si="55"/>
        <v>18,58 2025.05.21</v>
      </c>
      <c r="BR112" s="4" t="str">
        <f t="shared" si="56"/>
        <v>19,20 2025.05.21</v>
      </c>
      <c r="BS112" s="4" t="str">
        <f t="shared" si="57"/>
        <v>В</v>
      </c>
      <c r="BT112" s="10">
        <f t="shared" si="58"/>
        <v>0.36666666663950298</v>
      </c>
      <c r="BU112" s="42">
        <f t="shared" si="59"/>
        <v>1</v>
      </c>
      <c r="BV112" s="11">
        <f t="shared" si="60"/>
        <v>0</v>
      </c>
      <c r="BW112" s="11">
        <f t="shared" si="61"/>
        <v>0</v>
      </c>
      <c r="BX112" s="11">
        <f t="shared" si="62"/>
        <v>1</v>
      </c>
      <c r="BY112" s="11">
        <f t="shared" si="63"/>
        <v>0</v>
      </c>
      <c r="BZ112" s="11">
        <f t="shared" si="64"/>
        <v>0</v>
      </c>
      <c r="CA112" s="11">
        <f t="shared" si="65"/>
        <v>1</v>
      </c>
      <c r="CB112" s="42">
        <f t="shared" si="66"/>
        <v>0</v>
      </c>
      <c r="CC112" s="11">
        <f t="shared" si="67"/>
        <v>0</v>
      </c>
      <c r="CD112" s="11">
        <f t="shared" si="68"/>
        <v>0</v>
      </c>
      <c r="CE112" s="4"/>
      <c r="CF112" s="50">
        <f t="shared" si="69"/>
        <v>0</v>
      </c>
      <c r="CG112" s="50">
        <f t="shared" si="70"/>
        <v>0</v>
      </c>
      <c r="CH112" s="50">
        <f t="shared" si="71"/>
        <v>0</v>
      </c>
      <c r="CI112" s="50">
        <f t="shared" si="72"/>
        <v>0</v>
      </c>
      <c r="CJ112" s="50">
        <f t="shared" si="73"/>
        <v>0</v>
      </c>
      <c r="CK112" s="50">
        <f t="shared" si="74"/>
        <v>0</v>
      </c>
      <c r="CL112" s="50">
        <f t="shared" si="75"/>
        <v>0</v>
      </c>
      <c r="CM112" s="50">
        <f t="shared" si="76"/>
        <v>0</v>
      </c>
      <c r="CN112" s="50">
        <f t="shared" si="77"/>
        <v>0</v>
      </c>
      <c r="CO112" s="50">
        <f t="shared" si="78"/>
        <v>0</v>
      </c>
      <c r="CP112" s="50">
        <f t="shared" si="79"/>
        <v>0</v>
      </c>
      <c r="CQ112" s="50">
        <f t="shared" si="80"/>
        <v>0</v>
      </c>
      <c r="CR112"/>
    </row>
    <row r="113" spans="2:96" s="402" customFormat="1" ht="15.75" customHeight="1" x14ac:dyDescent="0.15">
      <c r="B113" s="59"/>
      <c r="D113" s="130">
        <v>21</v>
      </c>
      <c r="AA113" s="28" t="s">
        <v>701</v>
      </c>
      <c r="AB113" s="31" t="s">
        <v>986</v>
      </c>
      <c r="AC113" s="247" t="s">
        <v>1430</v>
      </c>
      <c r="AD113" s="314" t="s">
        <v>110</v>
      </c>
      <c r="AE113" s="315" t="s">
        <v>1530</v>
      </c>
      <c r="AF113" s="316" t="s">
        <v>1432</v>
      </c>
      <c r="AG113" s="248" t="s">
        <v>1726</v>
      </c>
      <c r="AH113" s="248" t="s">
        <v>1726</v>
      </c>
      <c r="AI113" s="248" t="s">
        <v>122</v>
      </c>
      <c r="AJ113" s="317">
        <v>0</v>
      </c>
      <c r="AK113" s="315" t="s">
        <v>1533</v>
      </c>
      <c r="AL113" s="315">
        <v>0</v>
      </c>
      <c r="AM113" s="315">
        <v>0</v>
      </c>
      <c r="AN113" s="42">
        <f t="shared" si="41"/>
        <v>1</v>
      </c>
      <c r="AO113" s="318">
        <v>0</v>
      </c>
      <c r="AP113" s="318">
        <v>0</v>
      </c>
      <c r="AQ113" s="318">
        <v>1</v>
      </c>
      <c r="AR113" s="318">
        <v>0</v>
      </c>
      <c r="AS113" s="318">
        <v>0</v>
      </c>
      <c r="AT113" s="318">
        <v>1</v>
      </c>
      <c r="AU113" s="42">
        <f t="shared" si="42"/>
        <v>0</v>
      </c>
      <c r="AV113" s="318">
        <v>0</v>
      </c>
      <c r="AW113" s="318">
        <v>1440</v>
      </c>
      <c r="AX113" s="315"/>
      <c r="AY113" s="636" t="s">
        <v>2064</v>
      </c>
      <c r="AZ113" s="319" t="s">
        <v>201</v>
      </c>
      <c r="BA113" s="319" t="s">
        <v>2041</v>
      </c>
      <c r="BB113" s="318">
        <v>0</v>
      </c>
      <c r="BC113" s="9"/>
      <c r="BD113" s="9"/>
      <c r="BE113" s="50">
        <f t="shared" si="43"/>
        <v>0</v>
      </c>
      <c r="BF113" s="50">
        <f t="shared" si="44"/>
        <v>0</v>
      </c>
      <c r="BG113" s="50">
        <f t="shared" si="45"/>
        <v>0</v>
      </c>
      <c r="BH113" s="50">
        <f t="shared" si="46"/>
        <v>0</v>
      </c>
      <c r="BI113" s="50">
        <f t="shared" si="47"/>
        <v>0</v>
      </c>
      <c r="BJ113" s="50">
        <f t="shared" si="48"/>
        <v>0</v>
      </c>
      <c r="BK113" s="50">
        <f t="shared" si="49"/>
        <v>0</v>
      </c>
      <c r="BL113" s="50">
        <f t="shared" si="50"/>
        <v>0</v>
      </c>
      <c r="BM113" s="50">
        <f t="shared" si="51"/>
        <v>0</v>
      </c>
      <c r="BN113" s="50">
        <f t="shared" si="52"/>
        <v>0</v>
      </c>
      <c r="BO113" s="50">
        <f t="shared" si="53"/>
        <v>0</v>
      </c>
      <c r="BP113" s="50">
        <f t="shared" si="54"/>
        <v>0</v>
      </c>
      <c r="BQ113" s="4" t="str">
        <f t="shared" si="55"/>
        <v>18,12 2025.05.22</v>
      </c>
      <c r="BR113" s="4" t="str">
        <f t="shared" si="56"/>
        <v>18,12 2025.05.22</v>
      </c>
      <c r="BS113" s="4" t="str">
        <f t="shared" si="57"/>
        <v>В</v>
      </c>
      <c r="BT113" s="10">
        <f t="shared" si="58"/>
        <v>0</v>
      </c>
      <c r="BU113" s="42">
        <f t="shared" si="59"/>
        <v>1</v>
      </c>
      <c r="BV113" s="11">
        <f t="shared" si="60"/>
        <v>0</v>
      </c>
      <c r="BW113" s="11">
        <f t="shared" si="61"/>
        <v>0</v>
      </c>
      <c r="BX113" s="11">
        <f t="shared" si="62"/>
        <v>1</v>
      </c>
      <c r="BY113" s="11">
        <f t="shared" si="63"/>
        <v>0</v>
      </c>
      <c r="BZ113" s="11">
        <f t="shared" si="64"/>
        <v>0</v>
      </c>
      <c r="CA113" s="11">
        <f t="shared" si="65"/>
        <v>1</v>
      </c>
      <c r="CB113" s="42">
        <f t="shared" si="66"/>
        <v>0</v>
      </c>
      <c r="CC113" s="11">
        <f t="shared" si="67"/>
        <v>0</v>
      </c>
      <c r="CD113" s="11">
        <f t="shared" si="68"/>
        <v>0</v>
      </c>
      <c r="CE113" s="4"/>
      <c r="CF113" s="50">
        <f t="shared" si="69"/>
        <v>0</v>
      </c>
      <c r="CG113" s="50">
        <f t="shared" si="70"/>
        <v>0</v>
      </c>
      <c r="CH113" s="50">
        <f t="shared" si="71"/>
        <v>0</v>
      </c>
      <c r="CI113" s="50">
        <f t="shared" si="72"/>
        <v>0</v>
      </c>
      <c r="CJ113" s="50">
        <f t="shared" si="73"/>
        <v>0</v>
      </c>
      <c r="CK113" s="50">
        <f t="shared" si="74"/>
        <v>0</v>
      </c>
      <c r="CL113" s="50">
        <f t="shared" si="75"/>
        <v>0</v>
      </c>
      <c r="CM113" s="50">
        <f t="shared" si="76"/>
        <v>0</v>
      </c>
      <c r="CN113" s="50">
        <f t="shared" si="77"/>
        <v>0</v>
      </c>
      <c r="CO113" s="50">
        <f t="shared" si="78"/>
        <v>0</v>
      </c>
      <c r="CP113" s="50">
        <f t="shared" si="79"/>
        <v>0</v>
      </c>
      <c r="CQ113" s="50">
        <f t="shared" si="80"/>
        <v>0</v>
      </c>
      <c r="CR113"/>
    </row>
    <row r="114" spans="2:96" s="403" customFormat="1" ht="15.75" customHeight="1" x14ac:dyDescent="0.15">
      <c r="B114" s="59"/>
      <c r="D114" s="130">
        <v>21</v>
      </c>
      <c r="AA114" s="28" t="s">
        <v>701</v>
      </c>
      <c r="AB114" s="31" t="s">
        <v>987</v>
      </c>
      <c r="AC114" s="247" t="s">
        <v>1430</v>
      </c>
      <c r="AD114" s="314" t="s">
        <v>110</v>
      </c>
      <c r="AE114" s="315" t="s">
        <v>1727</v>
      </c>
      <c r="AF114" s="316" t="s">
        <v>1495</v>
      </c>
      <c r="AG114" s="248" t="s">
        <v>1728</v>
      </c>
      <c r="AH114" s="248" t="s">
        <v>1728</v>
      </c>
      <c r="AI114" s="248" t="s">
        <v>122</v>
      </c>
      <c r="AJ114" s="317">
        <v>0</v>
      </c>
      <c r="AK114" s="315" t="s">
        <v>1727</v>
      </c>
      <c r="AL114" s="315">
        <v>0</v>
      </c>
      <c r="AM114" s="315">
        <v>2</v>
      </c>
      <c r="AN114" s="42">
        <f t="shared" si="41"/>
        <v>11</v>
      </c>
      <c r="AO114" s="318">
        <v>0</v>
      </c>
      <c r="AP114" s="318">
        <v>2</v>
      </c>
      <c r="AQ114" s="318">
        <v>9</v>
      </c>
      <c r="AR114" s="318">
        <v>0</v>
      </c>
      <c r="AS114" s="318">
        <v>1</v>
      </c>
      <c r="AT114" s="318">
        <v>9</v>
      </c>
      <c r="AU114" s="42">
        <f t="shared" si="42"/>
        <v>1</v>
      </c>
      <c r="AV114" s="318">
        <v>0</v>
      </c>
      <c r="AW114" s="318">
        <v>979</v>
      </c>
      <c r="AX114" s="315"/>
      <c r="AY114" s="636" t="s">
        <v>2065</v>
      </c>
      <c r="AZ114" s="319" t="s">
        <v>199</v>
      </c>
      <c r="BA114" s="319" t="s">
        <v>2041</v>
      </c>
      <c r="BB114" s="318">
        <v>0</v>
      </c>
      <c r="BC114" s="9"/>
      <c r="BD114" s="9"/>
      <c r="BE114" s="50">
        <f t="shared" si="43"/>
        <v>0</v>
      </c>
      <c r="BF114" s="50">
        <f t="shared" si="44"/>
        <v>0</v>
      </c>
      <c r="BG114" s="50">
        <f t="shared" si="45"/>
        <v>0</v>
      </c>
      <c r="BH114" s="50">
        <f t="shared" si="46"/>
        <v>0</v>
      </c>
      <c r="BI114" s="50">
        <f t="shared" si="47"/>
        <v>0</v>
      </c>
      <c r="BJ114" s="50">
        <f t="shared" si="48"/>
        <v>0</v>
      </c>
      <c r="BK114" s="50">
        <f t="shared" si="49"/>
        <v>0</v>
      </c>
      <c r="BL114" s="50">
        <f t="shared" si="50"/>
        <v>0</v>
      </c>
      <c r="BM114" s="50">
        <f t="shared" si="51"/>
        <v>0</v>
      </c>
      <c r="BN114" s="50">
        <f t="shared" si="52"/>
        <v>0</v>
      </c>
      <c r="BO114" s="50">
        <f t="shared" si="53"/>
        <v>0</v>
      </c>
      <c r="BP114" s="50">
        <f t="shared" si="54"/>
        <v>0</v>
      </c>
      <c r="BQ114" s="4" t="str">
        <f t="shared" si="55"/>
        <v>19,00 2025.05.23</v>
      </c>
      <c r="BR114" s="4" t="str">
        <f t="shared" si="56"/>
        <v>19,00 2025.05.23</v>
      </c>
      <c r="BS114" s="4" t="str">
        <f t="shared" si="57"/>
        <v>В</v>
      </c>
      <c r="BT114" s="10">
        <f t="shared" si="58"/>
        <v>0</v>
      </c>
      <c r="BU114" s="42">
        <f t="shared" si="59"/>
        <v>11</v>
      </c>
      <c r="BV114" s="11">
        <f t="shared" si="60"/>
        <v>0</v>
      </c>
      <c r="BW114" s="11">
        <f t="shared" si="61"/>
        <v>2</v>
      </c>
      <c r="BX114" s="11">
        <f t="shared" si="62"/>
        <v>9</v>
      </c>
      <c r="BY114" s="11">
        <f t="shared" si="63"/>
        <v>0</v>
      </c>
      <c r="BZ114" s="11">
        <f t="shared" si="64"/>
        <v>1</v>
      </c>
      <c r="CA114" s="11">
        <f t="shared" si="65"/>
        <v>9</v>
      </c>
      <c r="CB114" s="42">
        <f t="shared" si="66"/>
        <v>1</v>
      </c>
      <c r="CC114" s="11">
        <f t="shared" si="67"/>
        <v>0</v>
      </c>
      <c r="CD114" s="11">
        <f t="shared" si="68"/>
        <v>0</v>
      </c>
      <c r="CE114" s="4"/>
      <c r="CF114" s="50">
        <f t="shared" si="69"/>
        <v>0</v>
      </c>
      <c r="CG114" s="50">
        <f t="shared" si="70"/>
        <v>0</v>
      </c>
      <c r="CH114" s="50">
        <f t="shared" si="71"/>
        <v>0</v>
      </c>
      <c r="CI114" s="50">
        <f t="shared" si="72"/>
        <v>0</v>
      </c>
      <c r="CJ114" s="50">
        <f t="shared" si="73"/>
        <v>0</v>
      </c>
      <c r="CK114" s="50">
        <f t="shared" si="74"/>
        <v>0</v>
      </c>
      <c r="CL114" s="50">
        <f t="shared" si="75"/>
        <v>0</v>
      </c>
      <c r="CM114" s="50">
        <f t="shared" si="76"/>
        <v>0</v>
      </c>
      <c r="CN114" s="50">
        <f t="shared" si="77"/>
        <v>0</v>
      </c>
      <c r="CO114" s="50">
        <f t="shared" si="78"/>
        <v>0</v>
      </c>
      <c r="CP114" s="50">
        <f t="shared" si="79"/>
        <v>0</v>
      </c>
      <c r="CQ114" s="50">
        <f t="shared" si="80"/>
        <v>0</v>
      </c>
      <c r="CR114"/>
    </row>
    <row r="115" spans="2:96" s="404" customFormat="1" ht="15.75" customHeight="1" x14ac:dyDescent="0.15">
      <c r="B115" s="59"/>
      <c r="D115" s="130">
        <v>21</v>
      </c>
      <c r="AA115" s="28" t="s">
        <v>701</v>
      </c>
      <c r="AB115" s="31" t="s">
        <v>988</v>
      </c>
      <c r="AC115" s="247" t="s">
        <v>1440</v>
      </c>
      <c r="AD115" s="314" t="s">
        <v>110</v>
      </c>
      <c r="AE115" s="315" t="s">
        <v>1462</v>
      </c>
      <c r="AF115" s="316" t="s">
        <v>1432</v>
      </c>
      <c r="AG115" s="248" t="s">
        <v>1729</v>
      </c>
      <c r="AH115" s="248" t="s">
        <v>1729</v>
      </c>
      <c r="AI115" s="248" t="s">
        <v>122</v>
      </c>
      <c r="AJ115" s="317">
        <v>0</v>
      </c>
      <c r="AK115" s="315" t="s">
        <v>1464</v>
      </c>
      <c r="AL115" s="315">
        <v>0</v>
      </c>
      <c r="AM115" s="315">
        <v>0</v>
      </c>
      <c r="AN115" s="42">
        <f t="shared" si="41"/>
        <v>1</v>
      </c>
      <c r="AO115" s="318">
        <v>0</v>
      </c>
      <c r="AP115" s="318">
        <v>0</v>
      </c>
      <c r="AQ115" s="318">
        <v>1</v>
      </c>
      <c r="AR115" s="318">
        <v>0</v>
      </c>
      <c r="AS115" s="318">
        <v>0</v>
      </c>
      <c r="AT115" s="318">
        <v>1</v>
      </c>
      <c r="AU115" s="42">
        <f t="shared" si="42"/>
        <v>0</v>
      </c>
      <c r="AV115" s="318">
        <v>0</v>
      </c>
      <c r="AW115" s="318">
        <v>373</v>
      </c>
      <c r="AX115" s="315"/>
      <c r="AY115" s="636" t="s">
        <v>2066</v>
      </c>
      <c r="AZ115" s="319" t="s">
        <v>179</v>
      </c>
      <c r="BA115" s="319" t="s">
        <v>2041</v>
      </c>
      <c r="BB115" s="318">
        <v>0</v>
      </c>
      <c r="BC115" s="9"/>
      <c r="BD115" s="9"/>
      <c r="BE115" s="50">
        <f t="shared" si="43"/>
        <v>0</v>
      </c>
      <c r="BF115" s="50">
        <f t="shared" si="44"/>
        <v>0</v>
      </c>
      <c r="BG115" s="50">
        <f t="shared" si="45"/>
        <v>0</v>
      </c>
      <c r="BH115" s="50">
        <f t="shared" si="46"/>
        <v>0</v>
      </c>
      <c r="BI115" s="50">
        <f t="shared" si="47"/>
        <v>0</v>
      </c>
      <c r="BJ115" s="50">
        <f t="shared" si="48"/>
        <v>0</v>
      </c>
      <c r="BK115" s="50">
        <f t="shared" si="49"/>
        <v>0</v>
      </c>
      <c r="BL115" s="50">
        <f t="shared" si="50"/>
        <v>0</v>
      </c>
      <c r="BM115" s="50">
        <f t="shared" si="51"/>
        <v>0</v>
      </c>
      <c r="BN115" s="50">
        <f t="shared" si="52"/>
        <v>0</v>
      </c>
      <c r="BO115" s="50">
        <f t="shared" si="53"/>
        <v>0</v>
      </c>
      <c r="BP115" s="50">
        <f t="shared" si="54"/>
        <v>0</v>
      </c>
      <c r="BQ115" s="4" t="str">
        <f t="shared" si="55"/>
        <v>05,36 2025.05.24</v>
      </c>
      <c r="BR115" s="4" t="str">
        <f t="shared" si="56"/>
        <v>05,36 2025.05.24</v>
      </c>
      <c r="BS115" s="4" t="str">
        <f t="shared" si="57"/>
        <v>В</v>
      </c>
      <c r="BT115" s="10">
        <f t="shared" si="58"/>
        <v>0</v>
      </c>
      <c r="BU115" s="42">
        <f t="shared" si="59"/>
        <v>1</v>
      </c>
      <c r="BV115" s="11">
        <f t="shared" si="60"/>
        <v>0</v>
      </c>
      <c r="BW115" s="11">
        <f t="shared" si="61"/>
        <v>0</v>
      </c>
      <c r="BX115" s="11">
        <f t="shared" si="62"/>
        <v>1</v>
      </c>
      <c r="BY115" s="11">
        <f t="shared" si="63"/>
        <v>0</v>
      </c>
      <c r="BZ115" s="11">
        <f t="shared" si="64"/>
        <v>0</v>
      </c>
      <c r="CA115" s="11">
        <f t="shared" si="65"/>
        <v>1</v>
      </c>
      <c r="CB115" s="42">
        <f t="shared" si="66"/>
        <v>0</v>
      </c>
      <c r="CC115" s="11">
        <f t="shared" si="67"/>
        <v>0</v>
      </c>
      <c r="CD115" s="11">
        <f t="shared" si="68"/>
        <v>0</v>
      </c>
      <c r="CE115" s="4"/>
      <c r="CF115" s="50">
        <f t="shared" si="69"/>
        <v>0</v>
      </c>
      <c r="CG115" s="50">
        <f t="shared" si="70"/>
        <v>0</v>
      </c>
      <c r="CH115" s="50">
        <f t="shared" si="71"/>
        <v>0</v>
      </c>
      <c r="CI115" s="50">
        <f t="shared" si="72"/>
        <v>0</v>
      </c>
      <c r="CJ115" s="50">
        <f t="shared" si="73"/>
        <v>0</v>
      </c>
      <c r="CK115" s="50">
        <f t="shared" si="74"/>
        <v>0</v>
      </c>
      <c r="CL115" s="50">
        <f t="shared" si="75"/>
        <v>0</v>
      </c>
      <c r="CM115" s="50">
        <f t="shared" si="76"/>
        <v>0</v>
      </c>
      <c r="CN115" s="50">
        <f t="shared" si="77"/>
        <v>0</v>
      </c>
      <c r="CO115" s="50">
        <f t="shared" si="78"/>
        <v>0</v>
      </c>
      <c r="CP115" s="50">
        <f t="shared" si="79"/>
        <v>0</v>
      </c>
      <c r="CQ115" s="50">
        <f t="shared" si="80"/>
        <v>0</v>
      </c>
      <c r="CR115"/>
    </row>
    <row r="116" spans="2:96" s="405" customFormat="1" ht="15.75" customHeight="1" x14ac:dyDescent="0.15">
      <c r="B116" s="59"/>
      <c r="D116" s="130">
        <v>21</v>
      </c>
      <c r="AA116" s="28" t="s">
        <v>701</v>
      </c>
      <c r="AB116" s="31" t="s">
        <v>989</v>
      </c>
      <c r="AC116" s="247" t="s">
        <v>1627</v>
      </c>
      <c r="AD116" s="314" t="s">
        <v>110</v>
      </c>
      <c r="AE116" s="315" t="s">
        <v>1503</v>
      </c>
      <c r="AF116" s="316" t="s">
        <v>1432</v>
      </c>
      <c r="AG116" s="248" t="s">
        <v>1730</v>
      </c>
      <c r="AH116" s="248" t="s">
        <v>1731</v>
      </c>
      <c r="AI116" s="248" t="s">
        <v>100</v>
      </c>
      <c r="AJ116" s="317">
        <v>0.81666666670935195</v>
      </c>
      <c r="AK116" s="315" t="s">
        <v>1506</v>
      </c>
      <c r="AL116" s="315">
        <v>0</v>
      </c>
      <c r="AM116" s="315">
        <v>0</v>
      </c>
      <c r="AN116" s="42">
        <f t="shared" si="41"/>
        <v>1</v>
      </c>
      <c r="AO116" s="318">
        <v>0</v>
      </c>
      <c r="AP116" s="318">
        <v>0</v>
      </c>
      <c r="AQ116" s="318">
        <v>1</v>
      </c>
      <c r="AR116" s="318">
        <v>0</v>
      </c>
      <c r="AS116" s="318">
        <v>0</v>
      </c>
      <c r="AT116" s="318">
        <v>1</v>
      </c>
      <c r="AU116" s="42">
        <f t="shared" si="42"/>
        <v>0</v>
      </c>
      <c r="AV116" s="318">
        <v>0</v>
      </c>
      <c r="AW116" s="318">
        <v>780</v>
      </c>
      <c r="AX116" s="315"/>
      <c r="AY116" s="636"/>
      <c r="AZ116" s="319"/>
      <c r="BA116" s="319"/>
      <c r="BB116" s="318">
        <v>1</v>
      </c>
      <c r="BC116" s="9"/>
      <c r="BD116" s="9"/>
      <c r="BE116" s="50">
        <f t="shared" si="43"/>
        <v>0</v>
      </c>
      <c r="BF116" s="50">
        <f t="shared" si="44"/>
        <v>0</v>
      </c>
      <c r="BG116" s="50">
        <f t="shared" si="45"/>
        <v>0.81666666670935195</v>
      </c>
      <c r="BH116" s="50">
        <f t="shared" si="46"/>
        <v>1</v>
      </c>
      <c r="BI116" s="50">
        <f t="shared" si="47"/>
        <v>0</v>
      </c>
      <c r="BJ116" s="50">
        <f t="shared" si="48"/>
        <v>0</v>
      </c>
      <c r="BK116" s="50">
        <f t="shared" si="49"/>
        <v>0</v>
      </c>
      <c r="BL116" s="50">
        <f t="shared" si="50"/>
        <v>0</v>
      </c>
      <c r="BM116" s="50">
        <f t="shared" si="51"/>
        <v>0.81666666670935195</v>
      </c>
      <c r="BN116" s="50">
        <f t="shared" si="52"/>
        <v>1</v>
      </c>
      <c r="BO116" s="50">
        <f t="shared" si="53"/>
        <v>0</v>
      </c>
      <c r="BP116" s="50">
        <f t="shared" si="54"/>
        <v>0</v>
      </c>
      <c r="BQ116" s="4" t="str">
        <f t="shared" si="55"/>
        <v>09,50 2025.05.24</v>
      </c>
      <c r="BR116" s="4" t="str">
        <f t="shared" si="56"/>
        <v>10,39 2025.05.24</v>
      </c>
      <c r="BS116" s="4" t="str">
        <f t="shared" si="57"/>
        <v>П</v>
      </c>
      <c r="BT116" s="10">
        <f t="shared" si="58"/>
        <v>0.81666666670935195</v>
      </c>
      <c r="BU116" s="42">
        <f t="shared" si="59"/>
        <v>1</v>
      </c>
      <c r="BV116" s="11">
        <f t="shared" si="60"/>
        <v>0</v>
      </c>
      <c r="BW116" s="11">
        <f t="shared" si="61"/>
        <v>0</v>
      </c>
      <c r="BX116" s="11">
        <f t="shared" si="62"/>
        <v>1</v>
      </c>
      <c r="BY116" s="11">
        <f t="shared" si="63"/>
        <v>0</v>
      </c>
      <c r="BZ116" s="11">
        <f t="shared" si="64"/>
        <v>0</v>
      </c>
      <c r="CA116" s="11">
        <f t="shared" si="65"/>
        <v>1</v>
      </c>
      <c r="CB116" s="42">
        <f t="shared" si="66"/>
        <v>0</v>
      </c>
      <c r="CC116" s="11">
        <f t="shared" si="67"/>
        <v>0</v>
      </c>
      <c r="CD116" s="11">
        <f t="shared" si="68"/>
        <v>1</v>
      </c>
      <c r="CE116" s="4"/>
      <c r="CF116" s="50">
        <f t="shared" si="69"/>
        <v>0</v>
      </c>
      <c r="CG116" s="50">
        <f t="shared" si="70"/>
        <v>0</v>
      </c>
      <c r="CH116" s="50">
        <f t="shared" si="71"/>
        <v>0.81666666670935195</v>
      </c>
      <c r="CI116" s="50">
        <f t="shared" si="72"/>
        <v>1</v>
      </c>
      <c r="CJ116" s="50">
        <f t="shared" si="73"/>
        <v>0</v>
      </c>
      <c r="CK116" s="50">
        <f t="shared" si="74"/>
        <v>0</v>
      </c>
      <c r="CL116" s="50">
        <f t="shared" si="75"/>
        <v>0</v>
      </c>
      <c r="CM116" s="50">
        <f t="shared" si="76"/>
        <v>0</v>
      </c>
      <c r="CN116" s="50">
        <f t="shared" si="77"/>
        <v>0.81666666670935195</v>
      </c>
      <c r="CO116" s="50">
        <f t="shared" si="78"/>
        <v>1</v>
      </c>
      <c r="CP116" s="50">
        <f t="shared" si="79"/>
        <v>0</v>
      </c>
      <c r="CQ116" s="50">
        <f t="shared" si="80"/>
        <v>0</v>
      </c>
      <c r="CR116"/>
    </row>
    <row r="117" spans="2:96" s="406" customFormat="1" ht="15.75" customHeight="1" x14ac:dyDescent="0.15">
      <c r="B117" s="59"/>
      <c r="D117" s="130">
        <v>21</v>
      </c>
      <c r="AA117" s="28" t="s">
        <v>701</v>
      </c>
      <c r="AB117" s="31" t="s">
        <v>990</v>
      </c>
      <c r="AC117" s="247" t="s">
        <v>1430</v>
      </c>
      <c r="AD117" s="314" t="s">
        <v>110</v>
      </c>
      <c r="AE117" s="315" t="s">
        <v>1732</v>
      </c>
      <c r="AF117" s="316" t="s">
        <v>1432</v>
      </c>
      <c r="AG117" s="248" t="s">
        <v>1733</v>
      </c>
      <c r="AH117" s="248" t="s">
        <v>1734</v>
      </c>
      <c r="AI117" s="248" t="s">
        <v>100</v>
      </c>
      <c r="AJ117" s="317">
        <v>1.58333333325572</v>
      </c>
      <c r="AK117" s="315" t="s">
        <v>1735</v>
      </c>
      <c r="AL117" s="315">
        <v>0</v>
      </c>
      <c r="AM117" s="315">
        <v>0</v>
      </c>
      <c r="AN117" s="42">
        <f t="shared" si="41"/>
        <v>1</v>
      </c>
      <c r="AO117" s="318">
        <v>0</v>
      </c>
      <c r="AP117" s="318">
        <v>0</v>
      </c>
      <c r="AQ117" s="318">
        <v>1</v>
      </c>
      <c r="AR117" s="318">
        <v>0</v>
      </c>
      <c r="AS117" s="318">
        <v>0</v>
      </c>
      <c r="AT117" s="318">
        <v>1</v>
      </c>
      <c r="AU117" s="42">
        <f t="shared" si="42"/>
        <v>0</v>
      </c>
      <c r="AV117" s="318">
        <v>0</v>
      </c>
      <c r="AW117" s="318">
        <v>270</v>
      </c>
      <c r="AX117" s="315"/>
      <c r="AY117" s="636"/>
      <c r="AZ117" s="319"/>
      <c r="BA117" s="319"/>
      <c r="BB117" s="318">
        <v>1</v>
      </c>
      <c r="BC117" s="9"/>
      <c r="BD117" s="9"/>
      <c r="BE117" s="50">
        <f t="shared" si="43"/>
        <v>0</v>
      </c>
      <c r="BF117" s="50">
        <f t="shared" si="44"/>
        <v>0</v>
      </c>
      <c r="BG117" s="50">
        <f t="shared" si="45"/>
        <v>1.58333333325572</v>
      </c>
      <c r="BH117" s="50">
        <f t="shared" si="46"/>
        <v>1</v>
      </c>
      <c r="BI117" s="50">
        <f t="shared" si="47"/>
        <v>0</v>
      </c>
      <c r="BJ117" s="50">
        <f t="shared" si="48"/>
        <v>0</v>
      </c>
      <c r="BK117" s="50">
        <f t="shared" si="49"/>
        <v>0</v>
      </c>
      <c r="BL117" s="50">
        <f t="shared" si="50"/>
        <v>0</v>
      </c>
      <c r="BM117" s="50">
        <f t="shared" si="51"/>
        <v>1.58333333325572</v>
      </c>
      <c r="BN117" s="50">
        <f t="shared" si="52"/>
        <v>1</v>
      </c>
      <c r="BO117" s="50">
        <f t="shared" si="53"/>
        <v>0</v>
      </c>
      <c r="BP117" s="50">
        <f t="shared" si="54"/>
        <v>0</v>
      </c>
      <c r="BQ117" s="4" t="str">
        <f t="shared" si="55"/>
        <v>15,40 2025.05.30</v>
      </c>
      <c r="BR117" s="4" t="str">
        <f t="shared" si="56"/>
        <v>17,15 2025.05.30</v>
      </c>
      <c r="BS117" s="4" t="str">
        <f t="shared" si="57"/>
        <v>П</v>
      </c>
      <c r="BT117" s="10">
        <f t="shared" si="58"/>
        <v>1.58333333325572</v>
      </c>
      <c r="BU117" s="42">
        <f t="shared" si="59"/>
        <v>1</v>
      </c>
      <c r="BV117" s="11">
        <f t="shared" si="60"/>
        <v>0</v>
      </c>
      <c r="BW117" s="11">
        <f t="shared" si="61"/>
        <v>0</v>
      </c>
      <c r="BX117" s="11">
        <f t="shared" si="62"/>
        <v>1</v>
      </c>
      <c r="BY117" s="11">
        <f t="shared" si="63"/>
        <v>0</v>
      </c>
      <c r="BZ117" s="11">
        <f t="shared" si="64"/>
        <v>0</v>
      </c>
      <c r="CA117" s="11">
        <f t="shared" si="65"/>
        <v>1</v>
      </c>
      <c r="CB117" s="42">
        <f t="shared" si="66"/>
        <v>0</v>
      </c>
      <c r="CC117" s="11">
        <f t="shared" si="67"/>
        <v>0</v>
      </c>
      <c r="CD117" s="11">
        <f t="shared" si="68"/>
        <v>1</v>
      </c>
      <c r="CE117" s="4"/>
      <c r="CF117" s="50">
        <f t="shared" si="69"/>
        <v>0</v>
      </c>
      <c r="CG117" s="50">
        <f t="shared" si="70"/>
        <v>0</v>
      </c>
      <c r="CH117" s="50">
        <f t="shared" si="71"/>
        <v>1.58333333325572</v>
      </c>
      <c r="CI117" s="50">
        <f t="shared" si="72"/>
        <v>1</v>
      </c>
      <c r="CJ117" s="50">
        <f t="shared" si="73"/>
        <v>0</v>
      </c>
      <c r="CK117" s="50">
        <f t="shared" si="74"/>
        <v>0</v>
      </c>
      <c r="CL117" s="50">
        <f t="shared" si="75"/>
        <v>0</v>
      </c>
      <c r="CM117" s="50">
        <f t="shared" si="76"/>
        <v>0</v>
      </c>
      <c r="CN117" s="50">
        <f t="shared" si="77"/>
        <v>1.58333333325572</v>
      </c>
      <c r="CO117" s="50">
        <f t="shared" si="78"/>
        <v>1</v>
      </c>
      <c r="CP117" s="50">
        <f t="shared" si="79"/>
        <v>0</v>
      </c>
      <c r="CQ117" s="50">
        <f t="shared" si="80"/>
        <v>0</v>
      </c>
      <c r="CR117"/>
    </row>
    <row r="118" spans="2:96" s="407" customFormat="1" ht="15.75" customHeight="1" x14ac:dyDescent="0.15">
      <c r="B118" s="59"/>
      <c r="D118" s="130">
        <v>21</v>
      </c>
      <c r="AA118" s="28" t="s">
        <v>701</v>
      </c>
      <c r="AB118" s="31" t="s">
        <v>991</v>
      </c>
      <c r="AC118" s="247" t="s">
        <v>1435</v>
      </c>
      <c r="AD118" s="314" t="s">
        <v>110</v>
      </c>
      <c r="AE118" s="315" t="s">
        <v>1486</v>
      </c>
      <c r="AF118" s="316" t="s">
        <v>1432</v>
      </c>
      <c r="AG118" s="248" t="s">
        <v>1736</v>
      </c>
      <c r="AH118" s="248" t="s">
        <v>1737</v>
      </c>
      <c r="AI118" s="248" t="s">
        <v>100</v>
      </c>
      <c r="AJ118" s="317">
        <v>1.5</v>
      </c>
      <c r="AK118" s="315" t="s">
        <v>1489</v>
      </c>
      <c r="AL118" s="315">
        <v>0</v>
      </c>
      <c r="AM118" s="315">
        <v>0</v>
      </c>
      <c r="AN118" s="42">
        <f t="shared" si="41"/>
        <v>1</v>
      </c>
      <c r="AO118" s="318">
        <v>0</v>
      </c>
      <c r="AP118" s="318">
        <v>0</v>
      </c>
      <c r="AQ118" s="318">
        <v>1</v>
      </c>
      <c r="AR118" s="318">
        <v>0</v>
      </c>
      <c r="AS118" s="318">
        <v>0</v>
      </c>
      <c r="AT118" s="318">
        <v>1</v>
      </c>
      <c r="AU118" s="42">
        <f t="shared" si="42"/>
        <v>0</v>
      </c>
      <c r="AV118" s="318">
        <v>0</v>
      </c>
      <c r="AW118" s="318">
        <v>560</v>
      </c>
      <c r="AX118" s="315"/>
      <c r="AY118" s="636"/>
      <c r="AZ118" s="319"/>
      <c r="BA118" s="319"/>
      <c r="BB118" s="318">
        <v>1</v>
      </c>
      <c r="BC118" s="9"/>
      <c r="BD118" s="9"/>
      <c r="BE118" s="50">
        <f t="shared" si="43"/>
        <v>0</v>
      </c>
      <c r="BF118" s="50">
        <f t="shared" si="44"/>
        <v>0</v>
      </c>
      <c r="BG118" s="50">
        <f t="shared" si="45"/>
        <v>1.5</v>
      </c>
      <c r="BH118" s="50">
        <f t="shared" si="46"/>
        <v>1</v>
      </c>
      <c r="BI118" s="50">
        <f t="shared" si="47"/>
        <v>0</v>
      </c>
      <c r="BJ118" s="50">
        <f t="shared" si="48"/>
        <v>0</v>
      </c>
      <c r="BK118" s="50">
        <f t="shared" si="49"/>
        <v>0</v>
      </c>
      <c r="BL118" s="50">
        <f t="shared" si="50"/>
        <v>0</v>
      </c>
      <c r="BM118" s="50">
        <f t="shared" si="51"/>
        <v>1.5</v>
      </c>
      <c r="BN118" s="50">
        <f t="shared" si="52"/>
        <v>1</v>
      </c>
      <c r="BO118" s="50">
        <f t="shared" si="53"/>
        <v>0</v>
      </c>
      <c r="BP118" s="50">
        <f t="shared" si="54"/>
        <v>0</v>
      </c>
      <c r="BQ118" s="4" t="str">
        <f t="shared" si="55"/>
        <v>11,00 2025.06.02</v>
      </c>
      <c r="BR118" s="4" t="str">
        <f t="shared" si="56"/>
        <v>12,30 2025.06.02</v>
      </c>
      <c r="BS118" s="4" t="str">
        <f t="shared" si="57"/>
        <v>П</v>
      </c>
      <c r="BT118" s="10">
        <f t="shared" si="58"/>
        <v>1.5</v>
      </c>
      <c r="BU118" s="42">
        <f t="shared" si="59"/>
        <v>1</v>
      </c>
      <c r="BV118" s="11">
        <f t="shared" si="60"/>
        <v>0</v>
      </c>
      <c r="BW118" s="11">
        <f t="shared" si="61"/>
        <v>0</v>
      </c>
      <c r="BX118" s="11">
        <f t="shared" si="62"/>
        <v>1</v>
      </c>
      <c r="BY118" s="11">
        <f t="shared" si="63"/>
        <v>0</v>
      </c>
      <c r="BZ118" s="11">
        <f t="shared" si="64"/>
        <v>0</v>
      </c>
      <c r="CA118" s="11">
        <f t="shared" si="65"/>
        <v>1</v>
      </c>
      <c r="CB118" s="42">
        <f t="shared" si="66"/>
        <v>0</v>
      </c>
      <c r="CC118" s="11">
        <f t="shared" si="67"/>
        <v>0</v>
      </c>
      <c r="CD118" s="11">
        <f t="shared" si="68"/>
        <v>1</v>
      </c>
      <c r="CE118" s="4"/>
      <c r="CF118" s="50">
        <f t="shared" si="69"/>
        <v>0</v>
      </c>
      <c r="CG118" s="50">
        <f t="shared" si="70"/>
        <v>0</v>
      </c>
      <c r="CH118" s="50">
        <f t="shared" si="71"/>
        <v>1.5</v>
      </c>
      <c r="CI118" s="50">
        <f t="shared" si="72"/>
        <v>1</v>
      </c>
      <c r="CJ118" s="50">
        <f t="shared" si="73"/>
        <v>0</v>
      </c>
      <c r="CK118" s="50">
        <f t="shared" si="74"/>
        <v>0</v>
      </c>
      <c r="CL118" s="50">
        <f t="shared" si="75"/>
        <v>0</v>
      </c>
      <c r="CM118" s="50">
        <f t="shared" si="76"/>
        <v>0</v>
      </c>
      <c r="CN118" s="50">
        <f t="shared" si="77"/>
        <v>1.5</v>
      </c>
      <c r="CO118" s="50">
        <f t="shared" si="78"/>
        <v>1</v>
      </c>
      <c r="CP118" s="50">
        <f t="shared" si="79"/>
        <v>0</v>
      </c>
      <c r="CQ118" s="50">
        <f t="shared" si="80"/>
        <v>0</v>
      </c>
      <c r="CR118"/>
    </row>
    <row r="119" spans="2:96" s="408" customFormat="1" ht="15.75" customHeight="1" x14ac:dyDescent="0.15">
      <c r="B119" s="59"/>
      <c r="D119" s="130">
        <v>21</v>
      </c>
      <c r="AA119" s="28" t="s">
        <v>701</v>
      </c>
      <c r="AB119" s="31" t="s">
        <v>992</v>
      </c>
      <c r="AC119" s="247" t="s">
        <v>1435</v>
      </c>
      <c r="AD119" s="314" t="s">
        <v>110</v>
      </c>
      <c r="AE119" s="315" t="s">
        <v>1738</v>
      </c>
      <c r="AF119" s="316" t="s">
        <v>1432</v>
      </c>
      <c r="AG119" s="248" t="s">
        <v>1739</v>
      </c>
      <c r="AH119" s="248" t="s">
        <v>1739</v>
      </c>
      <c r="AI119" s="248" t="s">
        <v>122</v>
      </c>
      <c r="AJ119" s="317">
        <v>0</v>
      </c>
      <c r="AK119" s="315" t="s">
        <v>1740</v>
      </c>
      <c r="AL119" s="315">
        <v>0</v>
      </c>
      <c r="AM119" s="315">
        <v>0</v>
      </c>
      <c r="AN119" s="42">
        <f t="shared" si="41"/>
        <v>1</v>
      </c>
      <c r="AO119" s="318">
        <v>0</v>
      </c>
      <c r="AP119" s="318">
        <v>0</v>
      </c>
      <c r="AQ119" s="318">
        <v>1</v>
      </c>
      <c r="AR119" s="318">
        <v>0</v>
      </c>
      <c r="AS119" s="318">
        <v>0</v>
      </c>
      <c r="AT119" s="318">
        <v>1</v>
      </c>
      <c r="AU119" s="42">
        <f t="shared" si="42"/>
        <v>0</v>
      </c>
      <c r="AV119" s="318">
        <v>0</v>
      </c>
      <c r="AW119" s="318">
        <v>640</v>
      </c>
      <c r="AX119" s="315"/>
      <c r="AY119" s="636" t="s">
        <v>2067</v>
      </c>
      <c r="AZ119" s="319" t="s">
        <v>199</v>
      </c>
      <c r="BA119" s="319" t="s">
        <v>2041</v>
      </c>
      <c r="BB119" s="318">
        <v>0</v>
      </c>
      <c r="BC119" s="9"/>
      <c r="BD119" s="9"/>
      <c r="BE119" s="50">
        <f t="shared" si="43"/>
        <v>0</v>
      </c>
      <c r="BF119" s="50">
        <f t="shared" si="44"/>
        <v>0</v>
      </c>
      <c r="BG119" s="50">
        <f t="shared" si="45"/>
        <v>0</v>
      </c>
      <c r="BH119" s="50">
        <f t="shared" si="46"/>
        <v>0</v>
      </c>
      <c r="BI119" s="50">
        <f t="shared" si="47"/>
        <v>0</v>
      </c>
      <c r="BJ119" s="50">
        <f t="shared" si="48"/>
        <v>0</v>
      </c>
      <c r="BK119" s="50">
        <f t="shared" si="49"/>
        <v>0</v>
      </c>
      <c r="BL119" s="50">
        <f t="shared" si="50"/>
        <v>0</v>
      </c>
      <c r="BM119" s="50">
        <f t="shared" si="51"/>
        <v>0</v>
      </c>
      <c r="BN119" s="50">
        <f t="shared" si="52"/>
        <v>0</v>
      </c>
      <c r="BO119" s="50">
        <f t="shared" si="53"/>
        <v>0</v>
      </c>
      <c r="BP119" s="50">
        <f t="shared" si="54"/>
        <v>0</v>
      </c>
      <c r="BQ119" s="4" t="str">
        <f t="shared" si="55"/>
        <v>18,30 2025.06.02</v>
      </c>
      <c r="BR119" s="4" t="str">
        <f t="shared" si="56"/>
        <v>18,30 2025.06.02</v>
      </c>
      <c r="BS119" s="4" t="str">
        <f t="shared" si="57"/>
        <v>В</v>
      </c>
      <c r="BT119" s="10">
        <f t="shared" si="58"/>
        <v>0</v>
      </c>
      <c r="BU119" s="42">
        <f t="shared" si="59"/>
        <v>1</v>
      </c>
      <c r="BV119" s="11">
        <f t="shared" si="60"/>
        <v>0</v>
      </c>
      <c r="BW119" s="11">
        <f t="shared" si="61"/>
        <v>0</v>
      </c>
      <c r="BX119" s="11">
        <f t="shared" si="62"/>
        <v>1</v>
      </c>
      <c r="BY119" s="11">
        <f t="shared" si="63"/>
        <v>0</v>
      </c>
      <c r="BZ119" s="11">
        <f t="shared" si="64"/>
        <v>0</v>
      </c>
      <c r="CA119" s="11">
        <f t="shared" si="65"/>
        <v>1</v>
      </c>
      <c r="CB119" s="42">
        <f t="shared" si="66"/>
        <v>0</v>
      </c>
      <c r="CC119" s="11">
        <f t="shared" si="67"/>
        <v>0</v>
      </c>
      <c r="CD119" s="11">
        <f t="shared" si="68"/>
        <v>0</v>
      </c>
      <c r="CE119" s="4"/>
      <c r="CF119" s="50">
        <f t="shared" si="69"/>
        <v>0</v>
      </c>
      <c r="CG119" s="50">
        <f t="shared" si="70"/>
        <v>0</v>
      </c>
      <c r="CH119" s="50">
        <f t="shared" si="71"/>
        <v>0</v>
      </c>
      <c r="CI119" s="50">
        <f t="shared" si="72"/>
        <v>0</v>
      </c>
      <c r="CJ119" s="50">
        <f t="shared" si="73"/>
        <v>0</v>
      </c>
      <c r="CK119" s="50">
        <f t="shared" si="74"/>
        <v>0</v>
      </c>
      <c r="CL119" s="50">
        <f t="shared" si="75"/>
        <v>0</v>
      </c>
      <c r="CM119" s="50">
        <f t="shared" si="76"/>
        <v>0</v>
      </c>
      <c r="CN119" s="50">
        <f t="shared" si="77"/>
        <v>0</v>
      </c>
      <c r="CO119" s="50">
        <f t="shared" si="78"/>
        <v>0</v>
      </c>
      <c r="CP119" s="50">
        <f t="shared" si="79"/>
        <v>0</v>
      </c>
      <c r="CQ119" s="50">
        <f t="shared" si="80"/>
        <v>0</v>
      </c>
      <c r="CR119"/>
    </row>
    <row r="120" spans="2:96" s="409" customFormat="1" ht="15.75" customHeight="1" x14ac:dyDescent="0.15">
      <c r="B120" s="59"/>
      <c r="D120" s="130">
        <v>21</v>
      </c>
      <c r="AA120" s="28" t="s">
        <v>701</v>
      </c>
      <c r="AB120" s="31" t="s">
        <v>993</v>
      </c>
      <c r="AC120" s="247" t="s">
        <v>1445</v>
      </c>
      <c r="AD120" s="314" t="s">
        <v>110</v>
      </c>
      <c r="AE120" s="315" t="s">
        <v>1694</v>
      </c>
      <c r="AF120" s="316" t="s">
        <v>1432</v>
      </c>
      <c r="AG120" s="248" t="s">
        <v>1741</v>
      </c>
      <c r="AH120" s="248" t="s">
        <v>1742</v>
      </c>
      <c r="AI120" s="248" t="s">
        <v>100</v>
      </c>
      <c r="AJ120" s="317">
        <v>2.4833333333954202</v>
      </c>
      <c r="AK120" s="315" t="s">
        <v>1697</v>
      </c>
      <c r="AL120" s="315">
        <v>0</v>
      </c>
      <c r="AM120" s="315">
        <v>0</v>
      </c>
      <c r="AN120" s="42">
        <f t="shared" si="41"/>
        <v>1</v>
      </c>
      <c r="AO120" s="318">
        <v>0</v>
      </c>
      <c r="AP120" s="318">
        <v>0</v>
      </c>
      <c r="AQ120" s="318">
        <v>1</v>
      </c>
      <c r="AR120" s="318">
        <v>0</v>
      </c>
      <c r="AS120" s="318">
        <v>0</v>
      </c>
      <c r="AT120" s="318">
        <v>1</v>
      </c>
      <c r="AU120" s="42">
        <f t="shared" si="42"/>
        <v>0</v>
      </c>
      <c r="AV120" s="318">
        <v>0</v>
      </c>
      <c r="AW120" s="318">
        <v>350</v>
      </c>
      <c r="AX120" s="315"/>
      <c r="AY120" s="636"/>
      <c r="AZ120" s="319"/>
      <c r="BA120" s="319"/>
      <c r="BB120" s="318">
        <v>1</v>
      </c>
      <c r="BC120" s="9"/>
      <c r="BD120" s="9"/>
      <c r="BE120" s="50">
        <f t="shared" si="43"/>
        <v>0</v>
      </c>
      <c r="BF120" s="50">
        <f t="shared" si="44"/>
        <v>0</v>
      </c>
      <c r="BG120" s="50">
        <f t="shared" si="45"/>
        <v>2.4833333333954202</v>
      </c>
      <c r="BH120" s="50">
        <f t="shared" si="46"/>
        <v>1</v>
      </c>
      <c r="BI120" s="50">
        <f t="shared" si="47"/>
        <v>0</v>
      </c>
      <c r="BJ120" s="50">
        <f t="shared" si="48"/>
        <v>0</v>
      </c>
      <c r="BK120" s="50">
        <f t="shared" si="49"/>
        <v>0</v>
      </c>
      <c r="BL120" s="50">
        <f t="shared" si="50"/>
        <v>0</v>
      </c>
      <c r="BM120" s="50">
        <f t="shared" si="51"/>
        <v>2.4833333333954202</v>
      </c>
      <c r="BN120" s="50">
        <f t="shared" si="52"/>
        <v>1</v>
      </c>
      <c r="BO120" s="50">
        <f t="shared" si="53"/>
        <v>0</v>
      </c>
      <c r="BP120" s="50">
        <f t="shared" si="54"/>
        <v>0</v>
      </c>
      <c r="BQ120" s="4" t="str">
        <f t="shared" si="55"/>
        <v>10,19 2025.06.04</v>
      </c>
      <c r="BR120" s="4" t="str">
        <f t="shared" si="56"/>
        <v>12,48 2025.06.04</v>
      </c>
      <c r="BS120" s="4" t="str">
        <f t="shared" si="57"/>
        <v>П</v>
      </c>
      <c r="BT120" s="10">
        <f t="shared" si="58"/>
        <v>2.4833333333954202</v>
      </c>
      <c r="BU120" s="42">
        <f t="shared" si="59"/>
        <v>1</v>
      </c>
      <c r="BV120" s="11">
        <f t="shared" si="60"/>
        <v>0</v>
      </c>
      <c r="BW120" s="11">
        <f t="shared" si="61"/>
        <v>0</v>
      </c>
      <c r="BX120" s="11">
        <f t="shared" si="62"/>
        <v>1</v>
      </c>
      <c r="BY120" s="11">
        <f t="shared" si="63"/>
        <v>0</v>
      </c>
      <c r="BZ120" s="11">
        <f t="shared" si="64"/>
        <v>0</v>
      </c>
      <c r="CA120" s="11">
        <f t="shared" si="65"/>
        <v>1</v>
      </c>
      <c r="CB120" s="42">
        <f t="shared" si="66"/>
        <v>0</v>
      </c>
      <c r="CC120" s="11">
        <f t="shared" si="67"/>
        <v>0</v>
      </c>
      <c r="CD120" s="11">
        <f t="shared" si="68"/>
        <v>1</v>
      </c>
      <c r="CE120" s="4"/>
      <c r="CF120" s="50">
        <f t="shared" si="69"/>
        <v>0</v>
      </c>
      <c r="CG120" s="50">
        <f t="shared" si="70"/>
        <v>0</v>
      </c>
      <c r="CH120" s="50">
        <f t="shared" si="71"/>
        <v>2.4833333333954202</v>
      </c>
      <c r="CI120" s="50">
        <f t="shared" si="72"/>
        <v>1</v>
      </c>
      <c r="CJ120" s="50">
        <f t="shared" si="73"/>
        <v>0</v>
      </c>
      <c r="CK120" s="50">
        <f t="shared" si="74"/>
        <v>0</v>
      </c>
      <c r="CL120" s="50">
        <f t="shared" si="75"/>
        <v>0</v>
      </c>
      <c r="CM120" s="50">
        <f t="shared" si="76"/>
        <v>0</v>
      </c>
      <c r="CN120" s="50">
        <f t="shared" si="77"/>
        <v>2.4833333333954202</v>
      </c>
      <c r="CO120" s="50">
        <f t="shared" si="78"/>
        <v>1</v>
      </c>
      <c r="CP120" s="50">
        <f t="shared" si="79"/>
        <v>0</v>
      </c>
      <c r="CQ120" s="50">
        <f t="shared" si="80"/>
        <v>0</v>
      </c>
      <c r="CR120"/>
    </row>
    <row r="121" spans="2:96" s="410" customFormat="1" ht="15.75" customHeight="1" x14ac:dyDescent="0.15">
      <c r="B121" s="59"/>
      <c r="D121" s="130">
        <v>21</v>
      </c>
      <c r="AA121" s="28" t="s">
        <v>701</v>
      </c>
      <c r="AB121" s="31" t="s">
        <v>994</v>
      </c>
      <c r="AC121" s="247" t="s">
        <v>1435</v>
      </c>
      <c r="AD121" s="314" t="s">
        <v>110</v>
      </c>
      <c r="AE121" s="315" t="s">
        <v>1738</v>
      </c>
      <c r="AF121" s="316" t="s">
        <v>1432</v>
      </c>
      <c r="AG121" s="248" t="s">
        <v>1743</v>
      </c>
      <c r="AH121" s="248" t="s">
        <v>1744</v>
      </c>
      <c r="AI121" s="248" t="s">
        <v>100</v>
      </c>
      <c r="AJ121" s="317">
        <v>8.2666666667209903</v>
      </c>
      <c r="AK121" s="315" t="s">
        <v>1740</v>
      </c>
      <c r="AL121" s="315">
        <v>0</v>
      </c>
      <c r="AM121" s="315">
        <v>0</v>
      </c>
      <c r="AN121" s="42">
        <f t="shared" si="41"/>
        <v>1</v>
      </c>
      <c r="AO121" s="318">
        <v>0</v>
      </c>
      <c r="AP121" s="318">
        <v>0</v>
      </c>
      <c r="AQ121" s="318">
        <v>1</v>
      </c>
      <c r="AR121" s="318">
        <v>0</v>
      </c>
      <c r="AS121" s="318">
        <v>0</v>
      </c>
      <c r="AT121" s="318">
        <v>1</v>
      </c>
      <c r="AU121" s="42">
        <f t="shared" si="42"/>
        <v>0</v>
      </c>
      <c r="AV121" s="318">
        <v>0</v>
      </c>
      <c r="AW121" s="318">
        <v>560</v>
      </c>
      <c r="AX121" s="315"/>
      <c r="AY121" s="636"/>
      <c r="AZ121" s="319"/>
      <c r="BA121" s="319"/>
      <c r="BB121" s="318">
        <v>1</v>
      </c>
      <c r="BC121" s="9"/>
      <c r="BD121" s="9"/>
      <c r="BE121" s="50">
        <f t="shared" si="43"/>
        <v>0</v>
      </c>
      <c r="BF121" s="50">
        <f t="shared" si="44"/>
        <v>0</v>
      </c>
      <c r="BG121" s="50">
        <f t="shared" si="45"/>
        <v>8.2666666667209903</v>
      </c>
      <c r="BH121" s="50">
        <f t="shared" si="46"/>
        <v>1</v>
      </c>
      <c r="BI121" s="50">
        <f t="shared" si="47"/>
        <v>0</v>
      </c>
      <c r="BJ121" s="50">
        <f t="shared" si="48"/>
        <v>0</v>
      </c>
      <c r="BK121" s="50">
        <f t="shared" si="49"/>
        <v>0</v>
      </c>
      <c r="BL121" s="50">
        <f t="shared" si="50"/>
        <v>0</v>
      </c>
      <c r="BM121" s="50">
        <f t="shared" si="51"/>
        <v>8.2666666667209903</v>
      </c>
      <c r="BN121" s="50">
        <f t="shared" si="52"/>
        <v>1</v>
      </c>
      <c r="BO121" s="50">
        <f t="shared" si="53"/>
        <v>0</v>
      </c>
      <c r="BP121" s="50">
        <f t="shared" si="54"/>
        <v>0</v>
      </c>
      <c r="BQ121" s="4" t="str">
        <f t="shared" si="55"/>
        <v>09,35 2025.06.05</v>
      </c>
      <c r="BR121" s="4" t="str">
        <f t="shared" si="56"/>
        <v>17,51 2025.06.05</v>
      </c>
      <c r="BS121" s="4" t="str">
        <f t="shared" si="57"/>
        <v>П</v>
      </c>
      <c r="BT121" s="10">
        <f t="shared" si="58"/>
        <v>8.2666666667209903</v>
      </c>
      <c r="BU121" s="42">
        <f t="shared" si="59"/>
        <v>1</v>
      </c>
      <c r="BV121" s="11">
        <f t="shared" si="60"/>
        <v>0</v>
      </c>
      <c r="BW121" s="11">
        <f t="shared" si="61"/>
        <v>0</v>
      </c>
      <c r="BX121" s="11">
        <f t="shared" si="62"/>
        <v>1</v>
      </c>
      <c r="BY121" s="11">
        <f t="shared" si="63"/>
        <v>0</v>
      </c>
      <c r="BZ121" s="11">
        <f t="shared" si="64"/>
        <v>0</v>
      </c>
      <c r="CA121" s="11">
        <f t="shared" si="65"/>
        <v>1</v>
      </c>
      <c r="CB121" s="42">
        <f t="shared" si="66"/>
        <v>0</v>
      </c>
      <c r="CC121" s="11">
        <f t="shared" si="67"/>
        <v>0</v>
      </c>
      <c r="CD121" s="11">
        <f t="shared" si="68"/>
        <v>1</v>
      </c>
      <c r="CE121" s="4"/>
      <c r="CF121" s="50">
        <f t="shared" si="69"/>
        <v>0</v>
      </c>
      <c r="CG121" s="50">
        <f t="shared" si="70"/>
        <v>0</v>
      </c>
      <c r="CH121" s="50">
        <f t="shared" si="71"/>
        <v>8.2666666667209903</v>
      </c>
      <c r="CI121" s="50">
        <f t="shared" si="72"/>
        <v>1</v>
      </c>
      <c r="CJ121" s="50">
        <f t="shared" si="73"/>
        <v>0</v>
      </c>
      <c r="CK121" s="50">
        <f t="shared" si="74"/>
        <v>0</v>
      </c>
      <c r="CL121" s="50">
        <f t="shared" si="75"/>
        <v>0</v>
      </c>
      <c r="CM121" s="50">
        <f t="shared" si="76"/>
        <v>0</v>
      </c>
      <c r="CN121" s="50">
        <f t="shared" si="77"/>
        <v>8.2666666667209903</v>
      </c>
      <c r="CO121" s="50">
        <f t="shared" si="78"/>
        <v>1</v>
      </c>
      <c r="CP121" s="50">
        <f t="shared" si="79"/>
        <v>0</v>
      </c>
      <c r="CQ121" s="50">
        <f t="shared" si="80"/>
        <v>0</v>
      </c>
      <c r="CR121"/>
    </row>
    <row r="122" spans="2:96" s="411" customFormat="1" ht="15.75" customHeight="1" x14ac:dyDescent="0.15">
      <c r="B122" s="59"/>
      <c r="D122" s="130">
        <v>21</v>
      </c>
      <c r="AA122" s="28" t="s">
        <v>701</v>
      </c>
      <c r="AB122" s="31" t="s">
        <v>995</v>
      </c>
      <c r="AC122" s="247" t="s">
        <v>1435</v>
      </c>
      <c r="AD122" s="314" t="s">
        <v>110</v>
      </c>
      <c r="AE122" s="315" t="s">
        <v>1682</v>
      </c>
      <c r="AF122" s="316" t="s">
        <v>1432</v>
      </c>
      <c r="AG122" s="248" t="s">
        <v>1745</v>
      </c>
      <c r="AH122" s="248" t="s">
        <v>1745</v>
      </c>
      <c r="AI122" s="248" t="s">
        <v>122</v>
      </c>
      <c r="AJ122" s="317">
        <v>0</v>
      </c>
      <c r="AK122" s="315" t="s">
        <v>1684</v>
      </c>
      <c r="AL122" s="315">
        <v>0</v>
      </c>
      <c r="AM122" s="315">
        <v>0</v>
      </c>
      <c r="AN122" s="42">
        <f t="shared" si="41"/>
        <v>2</v>
      </c>
      <c r="AO122" s="318">
        <v>0</v>
      </c>
      <c r="AP122" s="318">
        <v>0</v>
      </c>
      <c r="AQ122" s="318">
        <v>2</v>
      </c>
      <c r="AR122" s="318">
        <v>0</v>
      </c>
      <c r="AS122" s="318">
        <v>0</v>
      </c>
      <c r="AT122" s="318">
        <v>2</v>
      </c>
      <c r="AU122" s="42">
        <f t="shared" si="42"/>
        <v>0</v>
      </c>
      <c r="AV122" s="318">
        <v>0</v>
      </c>
      <c r="AW122" s="318">
        <v>102</v>
      </c>
      <c r="AX122" s="315"/>
      <c r="AY122" s="636" t="s">
        <v>2068</v>
      </c>
      <c r="AZ122" s="319" t="s">
        <v>199</v>
      </c>
      <c r="BA122" s="319" t="s">
        <v>2041</v>
      </c>
      <c r="BB122" s="318">
        <v>0</v>
      </c>
      <c r="BC122" s="9"/>
      <c r="BD122" s="9"/>
      <c r="BE122" s="50">
        <f t="shared" si="43"/>
        <v>0</v>
      </c>
      <c r="BF122" s="50">
        <f t="shared" si="44"/>
        <v>0</v>
      </c>
      <c r="BG122" s="50">
        <f t="shared" si="45"/>
        <v>0</v>
      </c>
      <c r="BH122" s="50">
        <f t="shared" si="46"/>
        <v>0</v>
      </c>
      <c r="BI122" s="50">
        <f t="shared" si="47"/>
        <v>0</v>
      </c>
      <c r="BJ122" s="50">
        <f t="shared" si="48"/>
        <v>0</v>
      </c>
      <c r="BK122" s="50">
        <f t="shared" si="49"/>
        <v>0</v>
      </c>
      <c r="BL122" s="50">
        <f t="shared" si="50"/>
        <v>0</v>
      </c>
      <c r="BM122" s="50">
        <f t="shared" si="51"/>
        <v>0</v>
      </c>
      <c r="BN122" s="50">
        <f t="shared" si="52"/>
        <v>0</v>
      </c>
      <c r="BO122" s="50">
        <f t="shared" si="53"/>
        <v>0</v>
      </c>
      <c r="BP122" s="50">
        <f t="shared" si="54"/>
        <v>0</v>
      </c>
      <c r="BQ122" s="4" t="str">
        <f t="shared" si="55"/>
        <v>13,03 2025.06.06</v>
      </c>
      <c r="BR122" s="4" t="str">
        <f t="shared" si="56"/>
        <v>13,03 2025.06.06</v>
      </c>
      <c r="BS122" s="4" t="str">
        <f t="shared" si="57"/>
        <v>В</v>
      </c>
      <c r="BT122" s="10">
        <f t="shared" si="58"/>
        <v>0</v>
      </c>
      <c r="BU122" s="42">
        <f t="shared" si="59"/>
        <v>2</v>
      </c>
      <c r="BV122" s="11">
        <f t="shared" si="60"/>
        <v>0</v>
      </c>
      <c r="BW122" s="11">
        <f t="shared" si="61"/>
        <v>0</v>
      </c>
      <c r="BX122" s="11">
        <f t="shared" si="62"/>
        <v>2</v>
      </c>
      <c r="BY122" s="11">
        <f t="shared" si="63"/>
        <v>0</v>
      </c>
      <c r="BZ122" s="11">
        <f t="shared" si="64"/>
        <v>0</v>
      </c>
      <c r="CA122" s="11">
        <f t="shared" si="65"/>
        <v>2</v>
      </c>
      <c r="CB122" s="42">
        <f t="shared" si="66"/>
        <v>0</v>
      </c>
      <c r="CC122" s="11">
        <f t="shared" si="67"/>
        <v>0</v>
      </c>
      <c r="CD122" s="11">
        <f t="shared" si="68"/>
        <v>0</v>
      </c>
      <c r="CE122" s="4"/>
      <c r="CF122" s="50">
        <f t="shared" si="69"/>
        <v>0</v>
      </c>
      <c r="CG122" s="50">
        <f t="shared" si="70"/>
        <v>0</v>
      </c>
      <c r="CH122" s="50">
        <f t="shared" si="71"/>
        <v>0</v>
      </c>
      <c r="CI122" s="50">
        <f t="shared" si="72"/>
        <v>0</v>
      </c>
      <c r="CJ122" s="50">
        <f t="shared" si="73"/>
        <v>0</v>
      </c>
      <c r="CK122" s="50">
        <f t="shared" si="74"/>
        <v>0</v>
      </c>
      <c r="CL122" s="50">
        <f t="shared" si="75"/>
        <v>0</v>
      </c>
      <c r="CM122" s="50">
        <f t="shared" si="76"/>
        <v>0</v>
      </c>
      <c r="CN122" s="50">
        <f t="shared" si="77"/>
        <v>0</v>
      </c>
      <c r="CO122" s="50">
        <f t="shared" si="78"/>
        <v>0</v>
      </c>
      <c r="CP122" s="50">
        <f t="shared" si="79"/>
        <v>0</v>
      </c>
      <c r="CQ122" s="50">
        <f t="shared" si="80"/>
        <v>0</v>
      </c>
      <c r="CR122"/>
    </row>
    <row r="123" spans="2:96" s="412" customFormat="1" ht="15.75" customHeight="1" x14ac:dyDescent="0.15">
      <c r="B123" s="59"/>
      <c r="D123" s="130">
        <v>21</v>
      </c>
      <c r="AA123" s="28" t="s">
        <v>701</v>
      </c>
      <c r="AB123" s="31" t="s">
        <v>996</v>
      </c>
      <c r="AC123" s="247" t="s">
        <v>1435</v>
      </c>
      <c r="AD123" s="314" t="s">
        <v>110</v>
      </c>
      <c r="AE123" s="315" t="s">
        <v>1738</v>
      </c>
      <c r="AF123" s="316" t="s">
        <v>1432</v>
      </c>
      <c r="AG123" s="248" t="s">
        <v>1746</v>
      </c>
      <c r="AH123" s="248" t="s">
        <v>1746</v>
      </c>
      <c r="AI123" s="248" t="s">
        <v>122</v>
      </c>
      <c r="AJ123" s="317">
        <v>0</v>
      </c>
      <c r="AK123" s="315" t="s">
        <v>1740</v>
      </c>
      <c r="AL123" s="315">
        <v>0</v>
      </c>
      <c r="AM123" s="315">
        <v>0</v>
      </c>
      <c r="AN123" s="42">
        <f t="shared" si="41"/>
        <v>1</v>
      </c>
      <c r="AO123" s="318">
        <v>0</v>
      </c>
      <c r="AP123" s="318">
        <v>0</v>
      </c>
      <c r="AQ123" s="318">
        <v>1</v>
      </c>
      <c r="AR123" s="318">
        <v>0</v>
      </c>
      <c r="AS123" s="318">
        <v>0</v>
      </c>
      <c r="AT123" s="318">
        <v>1</v>
      </c>
      <c r="AU123" s="42">
        <f t="shared" si="42"/>
        <v>0</v>
      </c>
      <c r="AV123" s="318">
        <v>0</v>
      </c>
      <c r="AW123" s="318">
        <v>653</v>
      </c>
      <c r="AX123" s="315"/>
      <c r="AY123" s="636" t="s">
        <v>2069</v>
      </c>
      <c r="AZ123" s="319" t="s">
        <v>199</v>
      </c>
      <c r="BA123" s="319" t="s">
        <v>2041</v>
      </c>
      <c r="BB123" s="318">
        <v>0</v>
      </c>
      <c r="BC123" s="9"/>
      <c r="BD123" s="9"/>
      <c r="BE123" s="50">
        <f t="shared" si="43"/>
        <v>0</v>
      </c>
      <c r="BF123" s="50">
        <f t="shared" si="44"/>
        <v>0</v>
      </c>
      <c r="BG123" s="50">
        <f t="shared" si="45"/>
        <v>0</v>
      </c>
      <c r="BH123" s="50">
        <f t="shared" si="46"/>
        <v>0</v>
      </c>
      <c r="BI123" s="50">
        <f t="shared" si="47"/>
        <v>0</v>
      </c>
      <c r="BJ123" s="50">
        <f t="shared" si="48"/>
        <v>0</v>
      </c>
      <c r="BK123" s="50">
        <f t="shared" si="49"/>
        <v>0</v>
      </c>
      <c r="BL123" s="50">
        <f t="shared" si="50"/>
        <v>0</v>
      </c>
      <c r="BM123" s="50">
        <f t="shared" si="51"/>
        <v>0</v>
      </c>
      <c r="BN123" s="50">
        <f t="shared" si="52"/>
        <v>0</v>
      </c>
      <c r="BO123" s="50">
        <f t="shared" si="53"/>
        <v>0</v>
      </c>
      <c r="BP123" s="50">
        <f t="shared" si="54"/>
        <v>0</v>
      </c>
      <c r="BQ123" s="4" t="str">
        <f t="shared" si="55"/>
        <v>00,16 2025.06.11</v>
      </c>
      <c r="BR123" s="4" t="str">
        <f t="shared" si="56"/>
        <v>00,16 2025.06.11</v>
      </c>
      <c r="BS123" s="4" t="str">
        <f t="shared" si="57"/>
        <v>В</v>
      </c>
      <c r="BT123" s="10">
        <f t="shared" si="58"/>
        <v>0</v>
      </c>
      <c r="BU123" s="42">
        <f t="shared" si="59"/>
        <v>1</v>
      </c>
      <c r="BV123" s="11">
        <f t="shared" si="60"/>
        <v>0</v>
      </c>
      <c r="BW123" s="11">
        <f t="shared" si="61"/>
        <v>0</v>
      </c>
      <c r="BX123" s="11">
        <f t="shared" si="62"/>
        <v>1</v>
      </c>
      <c r="BY123" s="11">
        <f t="shared" si="63"/>
        <v>0</v>
      </c>
      <c r="BZ123" s="11">
        <f t="shared" si="64"/>
        <v>0</v>
      </c>
      <c r="CA123" s="11">
        <f t="shared" si="65"/>
        <v>1</v>
      </c>
      <c r="CB123" s="42">
        <f t="shared" si="66"/>
        <v>0</v>
      </c>
      <c r="CC123" s="11">
        <f t="shared" si="67"/>
        <v>0</v>
      </c>
      <c r="CD123" s="11">
        <f t="shared" si="68"/>
        <v>0</v>
      </c>
      <c r="CE123" s="4"/>
      <c r="CF123" s="50">
        <f t="shared" si="69"/>
        <v>0</v>
      </c>
      <c r="CG123" s="50">
        <f t="shared" si="70"/>
        <v>0</v>
      </c>
      <c r="CH123" s="50">
        <f t="shared" si="71"/>
        <v>0</v>
      </c>
      <c r="CI123" s="50">
        <f t="shared" si="72"/>
        <v>0</v>
      </c>
      <c r="CJ123" s="50">
        <f t="shared" si="73"/>
        <v>0</v>
      </c>
      <c r="CK123" s="50">
        <f t="shared" si="74"/>
        <v>0</v>
      </c>
      <c r="CL123" s="50">
        <f t="shared" si="75"/>
        <v>0</v>
      </c>
      <c r="CM123" s="50">
        <f t="shared" si="76"/>
        <v>0</v>
      </c>
      <c r="CN123" s="50">
        <f t="shared" si="77"/>
        <v>0</v>
      </c>
      <c r="CO123" s="50">
        <f t="shared" si="78"/>
        <v>0</v>
      </c>
      <c r="CP123" s="50">
        <f t="shared" si="79"/>
        <v>0</v>
      </c>
      <c r="CQ123" s="50">
        <f t="shared" si="80"/>
        <v>0</v>
      </c>
      <c r="CR123"/>
    </row>
    <row r="124" spans="2:96" s="413" customFormat="1" ht="15.75" customHeight="1" x14ac:dyDescent="0.15">
      <c r="B124" s="59"/>
      <c r="D124" s="130">
        <v>21</v>
      </c>
      <c r="AA124" s="28" t="s">
        <v>701</v>
      </c>
      <c r="AB124" s="31" t="s">
        <v>997</v>
      </c>
      <c r="AC124" s="247" t="s">
        <v>1627</v>
      </c>
      <c r="AD124" s="314" t="s">
        <v>110</v>
      </c>
      <c r="AE124" s="315" t="s">
        <v>1747</v>
      </c>
      <c r="AF124" s="316" t="s">
        <v>1432</v>
      </c>
      <c r="AG124" s="248" t="s">
        <v>1748</v>
      </c>
      <c r="AH124" s="248" t="s">
        <v>1748</v>
      </c>
      <c r="AI124" s="248" t="s">
        <v>122</v>
      </c>
      <c r="AJ124" s="317">
        <v>0</v>
      </c>
      <c r="AK124" s="315" t="s">
        <v>1749</v>
      </c>
      <c r="AL124" s="315">
        <v>0</v>
      </c>
      <c r="AM124" s="315">
        <v>0</v>
      </c>
      <c r="AN124" s="42">
        <f t="shared" si="41"/>
        <v>1</v>
      </c>
      <c r="AO124" s="318">
        <v>0</v>
      </c>
      <c r="AP124" s="318">
        <v>0</v>
      </c>
      <c r="AQ124" s="318">
        <v>1</v>
      </c>
      <c r="AR124" s="318">
        <v>0</v>
      </c>
      <c r="AS124" s="318">
        <v>0</v>
      </c>
      <c r="AT124" s="318">
        <v>1</v>
      </c>
      <c r="AU124" s="42">
        <f t="shared" si="42"/>
        <v>0</v>
      </c>
      <c r="AV124" s="318">
        <v>0</v>
      </c>
      <c r="AW124" s="318">
        <v>228</v>
      </c>
      <c r="AX124" s="315"/>
      <c r="AY124" s="636" t="s">
        <v>2070</v>
      </c>
      <c r="AZ124" s="319" t="s">
        <v>199</v>
      </c>
      <c r="BA124" s="319" t="s">
        <v>2041</v>
      </c>
      <c r="BB124" s="318">
        <v>0</v>
      </c>
      <c r="BC124" s="9"/>
      <c r="BD124" s="9"/>
      <c r="BE124" s="50">
        <f t="shared" si="43"/>
        <v>0</v>
      </c>
      <c r="BF124" s="50">
        <f t="shared" si="44"/>
        <v>0</v>
      </c>
      <c r="BG124" s="50">
        <f t="shared" si="45"/>
        <v>0</v>
      </c>
      <c r="BH124" s="50">
        <f t="shared" si="46"/>
        <v>0</v>
      </c>
      <c r="BI124" s="50">
        <f t="shared" si="47"/>
        <v>0</v>
      </c>
      <c r="BJ124" s="50">
        <f t="shared" si="48"/>
        <v>0</v>
      </c>
      <c r="BK124" s="50">
        <f t="shared" si="49"/>
        <v>0</v>
      </c>
      <c r="BL124" s="50">
        <f t="shared" si="50"/>
        <v>0</v>
      </c>
      <c r="BM124" s="50">
        <f t="shared" si="51"/>
        <v>0</v>
      </c>
      <c r="BN124" s="50">
        <f t="shared" si="52"/>
        <v>0</v>
      </c>
      <c r="BO124" s="50">
        <f t="shared" si="53"/>
        <v>0</v>
      </c>
      <c r="BP124" s="50">
        <f t="shared" si="54"/>
        <v>0</v>
      </c>
      <c r="BQ124" s="4" t="str">
        <f t="shared" si="55"/>
        <v>16,50 2025.06.11</v>
      </c>
      <c r="BR124" s="4" t="str">
        <f t="shared" si="56"/>
        <v>16,50 2025.06.11</v>
      </c>
      <c r="BS124" s="4" t="str">
        <f t="shared" si="57"/>
        <v>В</v>
      </c>
      <c r="BT124" s="10">
        <f t="shared" si="58"/>
        <v>0</v>
      </c>
      <c r="BU124" s="42">
        <f t="shared" si="59"/>
        <v>1</v>
      </c>
      <c r="BV124" s="11">
        <f t="shared" si="60"/>
        <v>0</v>
      </c>
      <c r="BW124" s="11">
        <f t="shared" si="61"/>
        <v>0</v>
      </c>
      <c r="BX124" s="11">
        <f t="shared" si="62"/>
        <v>1</v>
      </c>
      <c r="BY124" s="11">
        <f t="shared" si="63"/>
        <v>0</v>
      </c>
      <c r="BZ124" s="11">
        <f t="shared" si="64"/>
        <v>0</v>
      </c>
      <c r="CA124" s="11">
        <f t="shared" si="65"/>
        <v>1</v>
      </c>
      <c r="CB124" s="42">
        <f t="shared" si="66"/>
        <v>0</v>
      </c>
      <c r="CC124" s="11">
        <f t="shared" si="67"/>
        <v>0</v>
      </c>
      <c r="CD124" s="11">
        <f t="shared" si="68"/>
        <v>0</v>
      </c>
      <c r="CE124" s="4"/>
      <c r="CF124" s="50">
        <f t="shared" si="69"/>
        <v>0</v>
      </c>
      <c r="CG124" s="50">
        <f t="shared" si="70"/>
        <v>0</v>
      </c>
      <c r="CH124" s="50">
        <f t="shared" si="71"/>
        <v>0</v>
      </c>
      <c r="CI124" s="50">
        <f t="shared" si="72"/>
        <v>0</v>
      </c>
      <c r="CJ124" s="50">
        <f t="shared" si="73"/>
        <v>0</v>
      </c>
      <c r="CK124" s="50">
        <f t="shared" si="74"/>
        <v>0</v>
      </c>
      <c r="CL124" s="50">
        <f t="shared" si="75"/>
        <v>0</v>
      </c>
      <c r="CM124" s="50">
        <f t="shared" si="76"/>
        <v>0</v>
      </c>
      <c r="CN124" s="50">
        <f t="shared" si="77"/>
        <v>0</v>
      </c>
      <c r="CO124" s="50">
        <f t="shared" si="78"/>
        <v>0</v>
      </c>
      <c r="CP124" s="50">
        <f t="shared" si="79"/>
        <v>0</v>
      </c>
      <c r="CQ124" s="50">
        <f t="shared" si="80"/>
        <v>0</v>
      </c>
      <c r="CR124"/>
    </row>
    <row r="125" spans="2:96" s="414" customFormat="1" ht="15.75" customHeight="1" x14ac:dyDescent="0.15">
      <c r="B125" s="59"/>
      <c r="D125" s="130">
        <v>21</v>
      </c>
      <c r="AA125" s="28" t="s">
        <v>701</v>
      </c>
      <c r="AB125" s="31" t="s">
        <v>998</v>
      </c>
      <c r="AC125" s="247" t="s">
        <v>1627</v>
      </c>
      <c r="AD125" s="314" t="s">
        <v>110</v>
      </c>
      <c r="AE125" s="315" t="s">
        <v>1750</v>
      </c>
      <c r="AF125" s="316" t="s">
        <v>1432</v>
      </c>
      <c r="AG125" s="248" t="s">
        <v>1751</v>
      </c>
      <c r="AH125" s="248" t="s">
        <v>1751</v>
      </c>
      <c r="AI125" s="248" t="s">
        <v>122</v>
      </c>
      <c r="AJ125" s="317">
        <v>0</v>
      </c>
      <c r="AK125" s="315" t="s">
        <v>1752</v>
      </c>
      <c r="AL125" s="315">
        <v>0</v>
      </c>
      <c r="AM125" s="315">
        <v>0</v>
      </c>
      <c r="AN125" s="42">
        <f t="shared" si="41"/>
        <v>1</v>
      </c>
      <c r="AO125" s="318">
        <v>0</v>
      </c>
      <c r="AP125" s="318">
        <v>0</v>
      </c>
      <c r="AQ125" s="318">
        <v>1</v>
      </c>
      <c r="AR125" s="318">
        <v>0</v>
      </c>
      <c r="AS125" s="318">
        <v>0</v>
      </c>
      <c r="AT125" s="318">
        <v>1</v>
      </c>
      <c r="AU125" s="42">
        <f t="shared" si="42"/>
        <v>0</v>
      </c>
      <c r="AV125" s="318">
        <v>0</v>
      </c>
      <c r="AW125" s="318">
        <v>104</v>
      </c>
      <c r="AX125" s="315"/>
      <c r="AY125" s="636" t="s">
        <v>2071</v>
      </c>
      <c r="AZ125" s="319" t="s">
        <v>199</v>
      </c>
      <c r="BA125" s="319" t="s">
        <v>2041</v>
      </c>
      <c r="BB125" s="318">
        <v>0</v>
      </c>
      <c r="BC125" s="9"/>
      <c r="BD125" s="9"/>
      <c r="BE125" s="50">
        <f t="shared" si="43"/>
        <v>0</v>
      </c>
      <c r="BF125" s="50">
        <f t="shared" si="44"/>
        <v>0</v>
      </c>
      <c r="BG125" s="50">
        <f t="shared" si="45"/>
        <v>0</v>
      </c>
      <c r="BH125" s="50">
        <f t="shared" si="46"/>
        <v>0</v>
      </c>
      <c r="BI125" s="50">
        <f t="shared" si="47"/>
        <v>0</v>
      </c>
      <c r="BJ125" s="50">
        <f t="shared" si="48"/>
        <v>0</v>
      </c>
      <c r="BK125" s="50">
        <f t="shared" si="49"/>
        <v>0</v>
      </c>
      <c r="BL125" s="50">
        <f t="shared" si="50"/>
        <v>0</v>
      </c>
      <c r="BM125" s="50">
        <f t="shared" si="51"/>
        <v>0</v>
      </c>
      <c r="BN125" s="50">
        <f t="shared" si="52"/>
        <v>0</v>
      </c>
      <c r="BO125" s="50">
        <f t="shared" si="53"/>
        <v>0</v>
      </c>
      <c r="BP125" s="50">
        <f t="shared" si="54"/>
        <v>0</v>
      </c>
      <c r="BQ125" s="4" t="str">
        <f t="shared" si="55"/>
        <v>19,43 2025.06.11</v>
      </c>
      <c r="BR125" s="4" t="str">
        <f t="shared" si="56"/>
        <v>19,43 2025.06.11</v>
      </c>
      <c r="BS125" s="4" t="str">
        <f t="shared" si="57"/>
        <v>В</v>
      </c>
      <c r="BT125" s="10">
        <f t="shared" si="58"/>
        <v>0</v>
      </c>
      <c r="BU125" s="42">
        <f t="shared" si="59"/>
        <v>1</v>
      </c>
      <c r="BV125" s="11">
        <f t="shared" si="60"/>
        <v>0</v>
      </c>
      <c r="BW125" s="11">
        <f t="shared" si="61"/>
        <v>0</v>
      </c>
      <c r="BX125" s="11">
        <f t="shared" si="62"/>
        <v>1</v>
      </c>
      <c r="BY125" s="11">
        <f t="shared" si="63"/>
        <v>0</v>
      </c>
      <c r="BZ125" s="11">
        <f t="shared" si="64"/>
        <v>0</v>
      </c>
      <c r="CA125" s="11">
        <f t="shared" si="65"/>
        <v>1</v>
      </c>
      <c r="CB125" s="42">
        <f t="shared" si="66"/>
        <v>0</v>
      </c>
      <c r="CC125" s="11">
        <f t="shared" si="67"/>
        <v>0</v>
      </c>
      <c r="CD125" s="11">
        <f t="shared" si="68"/>
        <v>0</v>
      </c>
      <c r="CE125" s="4"/>
      <c r="CF125" s="50">
        <f t="shared" si="69"/>
        <v>0</v>
      </c>
      <c r="CG125" s="50">
        <f t="shared" si="70"/>
        <v>0</v>
      </c>
      <c r="CH125" s="50">
        <f t="shared" si="71"/>
        <v>0</v>
      </c>
      <c r="CI125" s="50">
        <f t="shared" si="72"/>
        <v>0</v>
      </c>
      <c r="CJ125" s="50">
        <f t="shared" si="73"/>
        <v>0</v>
      </c>
      <c r="CK125" s="50">
        <f t="shared" si="74"/>
        <v>0</v>
      </c>
      <c r="CL125" s="50">
        <f t="shared" si="75"/>
        <v>0</v>
      </c>
      <c r="CM125" s="50">
        <f t="shared" si="76"/>
        <v>0</v>
      </c>
      <c r="CN125" s="50">
        <f t="shared" si="77"/>
        <v>0</v>
      </c>
      <c r="CO125" s="50">
        <f t="shared" si="78"/>
        <v>0</v>
      </c>
      <c r="CP125" s="50">
        <f t="shared" si="79"/>
        <v>0</v>
      </c>
      <c r="CQ125" s="50">
        <f t="shared" si="80"/>
        <v>0</v>
      </c>
      <c r="CR125"/>
    </row>
    <row r="126" spans="2:96" s="415" customFormat="1" ht="15.75" customHeight="1" x14ac:dyDescent="0.15">
      <c r="B126" s="59"/>
      <c r="D126" s="130">
        <v>21</v>
      </c>
      <c r="AA126" s="28" t="s">
        <v>701</v>
      </c>
      <c r="AB126" s="31" t="s">
        <v>999</v>
      </c>
      <c r="AC126" s="247" t="s">
        <v>1440</v>
      </c>
      <c r="AD126" s="314" t="s">
        <v>110</v>
      </c>
      <c r="AE126" s="315" t="s">
        <v>1617</v>
      </c>
      <c r="AF126" s="316" t="s">
        <v>1432</v>
      </c>
      <c r="AG126" s="248" t="s">
        <v>1753</v>
      </c>
      <c r="AH126" s="248" t="s">
        <v>1754</v>
      </c>
      <c r="AI126" s="248" t="s">
        <v>122</v>
      </c>
      <c r="AJ126" s="317">
        <v>1.8333333331975199</v>
      </c>
      <c r="AK126" s="315" t="s">
        <v>1620</v>
      </c>
      <c r="AL126" s="315">
        <v>0</v>
      </c>
      <c r="AM126" s="315">
        <v>0</v>
      </c>
      <c r="AN126" s="42">
        <f t="shared" si="41"/>
        <v>1</v>
      </c>
      <c r="AO126" s="318">
        <v>0</v>
      </c>
      <c r="AP126" s="318">
        <v>0</v>
      </c>
      <c r="AQ126" s="318">
        <v>1</v>
      </c>
      <c r="AR126" s="318">
        <v>0</v>
      </c>
      <c r="AS126" s="318">
        <v>0</v>
      </c>
      <c r="AT126" s="318">
        <v>1</v>
      </c>
      <c r="AU126" s="42">
        <f t="shared" si="42"/>
        <v>0</v>
      </c>
      <c r="AV126" s="318">
        <v>0</v>
      </c>
      <c r="AW126" s="318">
        <v>311</v>
      </c>
      <c r="AX126" s="315"/>
      <c r="AY126" s="636" t="s">
        <v>2072</v>
      </c>
      <c r="AZ126" s="319" t="s">
        <v>201</v>
      </c>
      <c r="BA126" s="319" t="s">
        <v>2041</v>
      </c>
      <c r="BB126" s="318">
        <v>0</v>
      </c>
      <c r="BC126" s="9"/>
      <c r="BD126" s="9"/>
      <c r="BE126" s="50">
        <f t="shared" si="43"/>
        <v>0</v>
      </c>
      <c r="BF126" s="50">
        <f t="shared" si="44"/>
        <v>0</v>
      </c>
      <c r="BG126" s="50">
        <f t="shared" si="45"/>
        <v>0</v>
      </c>
      <c r="BH126" s="50">
        <f t="shared" si="46"/>
        <v>0</v>
      </c>
      <c r="BI126" s="50">
        <f t="shared" si="47"/>
        <v>0</v>
      </c>
      <c r="BJ126" s="50">
        <f t="shared" si="48"/>
        <v>0</v>
      </c>
      <c r="BK126" s="50">
        <f t="shared" si="49"/>
        <v>0</v>
      </c>
      <c r="BL126" s="50">
        <f t="shared" si="50"/>
        <v>0</v>
      </c>
      <c r="BM126" s="50">
        <f t="shared" si="51"/>
        <v>0</v>
      </c>
      <c r="BN126" s="50">
        <f t="shared" si="52"/>
        <v>0</v>
      </c>
      <c r="BO126" s="50">
        <f t="shared" si="53"/>
        <v>0</v>
      </c>
      <c r="BP126" s="50">
        <f t="shared" si="54"/>
        <v>0</v>
      </c>
      <c r="BQ126" s="4" t="str">
        <f t="shared" si="55"/>
        <v>18,40 2025.06.12</v>
      </c>
      <c r="BR126" s="4" t="str">
        <f t="shared" si="56"/>
        <v>20,30 2025.06.12</v>
      </c>
      <c r="BS126" s="4" t="str">
        <f t="shared" si="57"/>
        <v>В</v>
      </c>
      <c r="BT126" s="10">
        <f t="shared" si="58"/>
        <v>1.8333333331975199</v>
      </c>
      <c r="BU126" s="42">
        <f t="shared" si="59"/>
        <v>1</v>
      </c>
      <c r="BV126" s="11">
        <f t="shared" si="60"/>
        <v>0</v>
      </c>
      <c r="BW126" s="11">
        <f t="shared" si="61"/>
        <v>0</v>
      </c>
      <c r="BX126" s="11">
        <f t="shared" si="62"/>
        <v>1</v>
      </c>
      <c r="BY126" s="11">
        <f t="shared" si="63"/>
        <v>0</v>
      </c>
      <c r="BZ126" s="11">
        <f t="shared" si="64"/>
        <v>0</v>
      </c>
      <c r="CA126" s="11">
        <f t="shared" si="65"/>
        <v>1</v>
      </c>
      <c r="CB126" s="42">
        <f t="shared" si="66"/>
        <v>0</v>
      </c>
      <c r="CC126" s="11">
        <f t="shared" si="67"/>
        <v>0</v>
      </c>
      <c r="CD126" s="11">
        <f t="shared" si="68"/>
        <v>0</v>
      </c>
      <c r="CE126" s="4"/>
      <c r="CF126" s="50">
        <f t="shared" si="69"/>
        <v>0</v>
      </c>
      <c r="CG126" s="50">
        <f t="shared" si="70"/>
        <v>0</v>
      </c>
      <c r="CH126" s="50">
        <f t="shared" si="71"/>
        <v>0</v>
      </c>
      <c r="CI126" s="50">
        <f t="shared" si="72"/>
        <v>0</v>
      </c>
      <c r="CJ126" s="50">
        <f t="shared" si="73"/>
        <v>0</v>
      </c>
      <c r="CK126" s="50">
        <f t="shared" si="74"/>
        <v>0</v>
      </c>
      <c r="CL126" s="50">
        <f t="shared" si="75"/>
        <v>0</v>
      </c>
      <c r="CM126" s="50">
        <f t="shared" si="76"/>
        <v>0</v>
      </c>
      <c r="CN126" s="50">
        <f t="shared" si="77"/>
        <v>0</v>
      </c>
      <c r="CO126" s="50">
        <f t="shared" si="78"/>
        <v>0</v>
      </c>
      <c r="CP126" s="50">
        <f t="shared" si="79"/>
        <v>0</v>
      </c>
      <c r="CQ126" s="50">
        <f t="shared" si="80"/>
        <v>0</v>
      </c>
      <c r="CR126"/>
    </row>
    <row r="127" spans="2:96" s="416" customFormat="1" ht="15.75" customHeight="1" x14ac:dyDescent="0.15">
      <c r="B127" s="59"/>
      <c r="D127" s="130">
        <v>21</v>
      </c>
      <c r="AA127" s="28" t="s">
        <v>701</v>
      </c>
      <c r="AB127" s="31" t="s">
        <v>1000</v>
      </c>
      <c r="AC127" s="247" t="s">
        <v>1445</v>
      </c>
      <c r="AD127" s="314" t="s">
        <v>110</v>
      </c>
      <c r="AE127" s="315" t="s">
        <v>1636</v>
      </c>
      <c r="AF127" s="316" t="s">
        <v>1432</v>
      </c>
      <c r="AG127" s="248" t="s">
        <v>1755</v>
      </c>
      <c r="AH127" s="248" t="s">
        <v>1756</v>
      </c>
      <c r="AI127" s="248" t="s">
        <v>100</v>
      </c>
      <c r="AJ127" s="317">
        <v>2.9833333332790102</v>
      </c>
      <c r="AK127" s="315" t="s">
        <v>1639</v>
      </c>
      <c r="AL127" s="315">
        <v>0</v>
      </c>
      <c r="AM127" s="315">
        <v>0</v>
      </c>
      <c r="AN127" s="42">
        <f t="shared" si="41"/>
        <v>1</v>
      </c>
      <c r="AO127" s="318">
        <v>0</v>
      </c>
      <c r="AP127" s="318">
        <v>0</v>
      </c>
      <c r="AQ127" s="318">
        <v>1</v>
      </c>
      <c r="AR127" s="318">
        <v>0</v>
      </c>
      <c r="AS127" s="318">
        <v>0</v>
      </c>
      <c r="AT127" s="318">
        <v>1</v>
      </c>
      <c r="AU127" s="42">
        <f t="shared" si="42"/>
        <v>0</v>
      </c>
      <c r="AV127" s="318">
        <v>0</v>
      </c>
      <c r="AW127" s="318">
        <v>500</v>
      </c>
      <c r="AX127" s="315"/>
      <c r="AY127" s="636"/>
      <c r="AZ127" s="319"/>
      <c r="BA127" s="319"/>
      <c r="BB127" s="318">
        <v>1</v>
      </c>
      <c r="BC127" s="9"/>
      <c r="BD127" s="9"/>
      <c r="BE127" s="50">
        <f t="shared" si="43"/>
        <v>0</v>
      </c>
      <c r="BF127" s="50">
        <f t="shared" si="44"/>
        <v>0</v>
      </c>
      <c r="BG127" s="50">
        <f t="shared" si="45"/>
        <v>2.9833333332790102</v>
      </c>
      <c r="BH127" s="50">
        <f t="shared" si="46"/>
        <v>1</v>
      </c>
      <c r="BI127" s="50">
        <f t="shared" si="47"/>
        <v>0</v>
      </c>
      <c r="BJ127" s="50">
        <f t="shared" si="48"/>
        <v>0</v>
      </c>
      <c r="BK127" s="50">
        <f t="shared" si="49"/>
        <v>0</v>
      </c>
      <c r="BL127" s="50">
        <f t="shared" si="50"/>
        <v>0</v>
      </c>
      <c r="BM127" s="50">
        <f t="shared" si="51"/>
        <v>2.9833333332790102</v>
      </c>
      <c r="BN127" s="50">
        <f t="shared" si="52"/>
        <v>1</v>
      </c>
      <c r="BO127" s="50">
        <f t="shared" si="53"/>
        <v>0</v>
      </c>
      <c r="BP127" s="50">
        <f t="shared" si="54"/>
        <v>0</v>
      </c>
      <c r="BQ127" s="4" t="str">
        <f t="shared" si="55"/>
        <v>10,08 2025.06.13</v>
      </c>
      <c r="BR127" s="4" t="str">
        <f t="shared" si="56"/>
        <v>13,07 2025.06.13</v>
      </c>
      <c r="BS127" s="4" t="str">
        <f t="shared" si="57"/>
        <v>П</v>
      </c>
      <c r="BT127" s="10">
        <f t="shared" si="58"/>
        <v>2.9833333332790102</v>
      </c>
      <c r="BU127" s="42">
        <f t="shared" si="59"/>
        <v>1</v>
      </c>
      <c r="BV127" s="11">
        <f t="shared" si="60"/>
        <v>0</v>
      </c>
      <c r="BW127" s="11">
        <f t="shared" si="61"/>
        <v>0</v>
      </c>
      <c r="BX127" s="11">
        <f t="shared" si="62"/>
        <v>1</v>
      </c>
      <c r="BY127" s="11">
        <f t="shared" si="63"/>
        <v>0</v>
      </c>
      <c r="BZ127" s="11">
        <f t="shared" si="64"/>
        <v>0</v>
      </c>
      <c r="CA127" s="11">
        <f t="shared" si="65"/>
        <v>1</v>
      </c>
      <c r="CB127" s="42">
        <f t="shared" si="66"/>
        <v>0</v>
      </c>
      <c r="CC127" s="11">
        <f t="shared" si="67"/>
        <v>0</v>
      </c>
      <c r="CD127" s="11">
        <f t="shared" si="68"/>
        <v>1</v>
      </c>
      <c r="CE127" s="4"/>
      <c r="CF127" s="50">
        <f t="shared" si="69"/>
        <v>0</v>
      </c>
      <c r="CG127" s="50">
        <f t="shared" si="70"/>
        <v>0</v>
      </c>
      <c r="CH127" s="50">
        <f t="shared" si="71"/>
        <v>2.9833333332790102</v>
      </c>
      <c r="CI127" s="50">
        <f t="shared" si="72"/>
        <v>1</v>
      </c>
      <c r="CJ127" s="50">
        <f t="shared" si="73"/>
        <v>0</v>
      </c>
      <c r="CK127" s="50">
        <f t="shared" si="74"/>
        <v>0</v>
      </c>
      <c r="CL127" s="50">
        <f t="shared" si="75"/>
        <v>0</v>
      </c>
      <c r="CM127" s="50">
        <f t="shared" si="76"/>
        <v>0</v>
      </c>
      <c r="CN127" s="50">
        <f t="shared" si="77"/>
        <v>2.9833333332790102</v>
      </c>
      <c r="CO127" s="50">
        <f t="shared" si="78"/>
        <v>1</v>
      </c>
      <c r="CP127" s="50">
        <f t="shared" si="79"/>
        <v>0</v>
      </c>
      <c r="CQ127" s="50">
        <f t="shared" si="80"/>
        <v>0</v>
      </c>
      <c r="CR127"/>
    </row>
    <row r="128" spans="2:96" s="417" customFormat="1" ht="15.75" customHeight="1" x14ac:dyDescent="0.15">
      <c r="B128" s="59"/>
      <c r="D128" s="130">
        <v>21</v>
      </c>
      <c r="AA128" s="28" t="s">
        <v>701</v>
      </c>
      <c r="AB128" s="31" t="s">
        <v>1001</v>
      </c>
      <c r="AC128" s="247" t="s">
        <v>1445</v>
      </c>
      <c r="AD128" s="314" t="s">
        <v>110</v>
      </c>
      <c r="AE128" s="315" t="s">
        <v>1757</v>
      </c>
      <c r="AF128" s="316" t="s">
        <v>1432</v>
      </c>
      <c r="AG128" s="248" t="s">
        <v>1758</v>
      </c>
      <c r="AH128" s="248" t="s">
        <v>1759</v>
      </c>
      <c r="AI128" s="248" t="s">
        <v>100</v>
      </c>
      <c r="AJ128" s="317">
        <v>3.0166666667209898</v>
      </c>
      <c r="AK128" s="315" t="s">
        <v>1760</v>
      </c>
      <c r="AL128" s="315">
        <v>0</v>
      </c>
      <c r="AM128" s="315">
        <v>0</v>
      </c>
      <c r="AN128" s="42">
        <f t="shared" si="41"/>
        <v>1</v>
      </c>
      <c r="AO128" s="318">
        <v>0</v>
      </c>
      <c r="AP128" s="318">
        <v>0</v>
      </c>
      <c r="AQ128" s="318">
        <v>1</v>
      </c>
      <c r="AR128" s="318">
        <v>0</v>
      </c>
      <c r="AS128" s="318">
        <v>0</v>
      </c>
      <c r="AT128" s="318">
        <v>1</v>
      </c>
      <c r="AU128" s="42">
        <f t="shared" si="42"/>
        <v>0</v>
      </c>
      <c r="AV128" s="318">
        <v>0</v>
      </c>
      <c r="AW128" s="318">
        <v>340</v>
      </c>
      <c r="AX128" s="315"/>
      <c r="AY128" s="636"/>
      <c r="AZ128" s="319"/>
      <c r="BA128" s="319"/>
      <c r="BB128" s="318">
        <v>1</v>
      </c>
      <c r="BC128" s="9"/>
      <c r="BD128" s="9"/>
      <c r="BE128" s="50">
        <f t="shared" si="43"/>
        <v>0</v>
      </c>
      <c r="BF128" s="50">
        <f t="shared" si="44"/>
        <v>0</v>
      </c>
      <c r="BG128" s="50">
        <f t="shared" si="45"/>
        <v>3.0166666667209898</v>
      </c>
      <c r="BH128" s="50">
        <f t="shared" si="46"/>
        <v>1</v>
      </c>
      <c r="BI128" s="50">
        <f t="shared" si="47"/>
        <v>0</v>
      </c>
      <c r="BJ128" s="50">
        <f t="shared" si="48"/>
        <v>0</v>
      </c>
      <c r="BK128" s="50">
        <f t="shared" si="49"/>
        <v>0</v>
      </c>
      <c r="BL128" s="50">
        <f t="shared" si="50"/>
        <v>0</v>
      </c>
      <c r="BM128" s="50">
        <f t="shared" si="51"/>
        <v>3.0166666667209898</v>
      </c>
      <c r="BN128" s="50">
        <f t="shared" si="52"/>
        <v>1</v>
      </c>
      <c r="BO128" s="50">
        <f t="shared" si="53"/>
        <v>0</v>
      </c>
      <c r="BP128" s="50">
        <f t="shared" si="54"/>
        <v>0</v>
      </c>
      <c r="BQ128" s="4" t="str">
        <f t="shared" si="55"/>
        <v>10,07 2025.06.14</v>
      </c>
      <c r="BR128" s="4" t="str">
        <f t="shared" si="56"/>
        <v>13,08 2025.06.14</v>
      </c>
      <c r="BS128" s="4" t="str">
        <f t="shared" si="57"/>
        <v>П</v>
      </c>
      <c r="BT128" s="10">
        <f t="shared" si="58"/>
        <v>3.0166666667209898</v>
      </c>
      <c r="BU128" s="42">
        <f t="shared" si="59"/>
        <v>1</v>
      </c>
      <c r="BV128" s="11">
        <f t="shared" si="60"/>
        <v>0</v>
      </c>
      <c r="BW128" s="11">
        <f t="shared" si="61"/>
        <v>0</v>
      </c>
      <c r="BX128" s="11">
        <f t="shared" si="62"/>
        <v>1</v>
      </c>
      <c r="BY128" s="11">
        <f t="shared" si="63"/>
        <v>0</v>
      </c>
      <c r="BZ128" s="11">
        <f t="shared" si="64"/>
        <v>0</v>
      </c>
      <c r="CA128" s="11">
        <f t="shared" si="65"/>
        <v>1</v>
      </c>
      <c r="CB128" s="42">
        <f t="shared" si="66"/>
        <v>0</v>
      </c>
      <c r="CC128" s="11">
        <f t="shared" si="67"/>
        <v>0</v>
      </c>
      <c r="CD128" s="11">
        <f t="shared" si="68"/>
        <v>1</v>
      </c>
      <c r="CE128" s="4"/>
      <c r="CF128" s="50">
        <f t="shared" si="69"/>
        <v>0</v>
      </c>
      <c r="CG128" s="50">
        <f t="shared" si="70"/>
        <v>0</v>
      </c>
      <c r="CH128" s="50">
        <f t="shared" si="71"/>
        <v>3.0166666667209898</v>
      </c>
      <c r="CI128" s="50">
        <f t="shared" si="72"/>
        <v>1</v>
      </c>
      <c r="CJ128" s="50">
        <f t="shared" si="73"/>
        <v>0</v>
      </c>
      <c r="CK128" s="50">
        <f t="shared" si="74"/>
        <v>0</v>
      </c>
      <c r="CL128" s="50">
        <f t="shared" si="75"/>
        <v>0</v>
      </c>
      <c r="CM128" s="50">
        <f t="shared" si="76"/>
        <v>0</v>
      </c>
      <c r="CN128" s="50">
        <f t="shared" si="77"/>
        <v>3.0166666667209898</v>
      </c>
      <c r="CO128" s="50">
        <f t="shared" si="78"/>
        <v>1</v>
      </c>
      <c r="CP128" s="50">
        <f t="shared" si="79"/>
        <v>0</v>
      </c>
      <c r="CQ128" s="50">
        <f t="shared" si="80"/>
        <v>0</v>
      </c>
      <c r="CR128"/>
    </row>
    <row r="129" spans="2:96" s="418" customFormat="1" ht="15.75" customHeight="1" x14ac:dyDescent="0.15">
      <c r="B129" s="59"/>
      <c r="D129" s="130">
        <v>21</v>
      </c>
      <c r="AA129" s="28" t="s">
        <v>701</v>
      </c>
      <c r="AB129" s="31" t="s">
        <v>1002</v>
      </c>
      <c r="AC129" s="247" t="s">
        <v>1445</v>
      </c>
      <c r="AD129" s="314" t="s">
        <v>110</v>
      </c>
      <c r="AE129" s="315" t="s">
        <v>1761</v>
      </c>
      <c r="AF129" s="316" t="s">
        <v>1432</v>
      </c>
      <c r="AG129" s="248" t="s">
        <v>1762</v>
      </c>
      <c r="AH129" s="248" t="s">
        <v>1762</v>
      </c>
      <c r="AI129" s="248" t="s">
        <v>122</v>
      </c>
      <c r="AJ129" s="317">
        <v>0</v>
      </c>
      <c r="AK129" s="315" t="s">
        <v>1763</v>
      </c>
      <c r="AL129" s="315">
        <v>0</v>
      </c>
      <c r="AM129" s="315">
        <v>0</v>
      </c>
      <c r="AN129" s="42">
        <f t="shared" si="41"/>
        <v>1</v>
      </c>
      <c r="AO129" s="318">
        <v>0</v>
      </c>
      <c r="AP129" s="318">
        <v>0</v>
      </c>
      <c r="AQ129" s="318">
        <v>1</v>
      </c>
      <c r="AR129" s="318">
        <v>0</v>
      </c>
      <c r="AS129" s="318">
        <v>0</v>
      </c>
      <c r="AT129" s="318">
        <v>1</v>
      </c>
      <c r="AU129" s="42">
        <f t="shared" si="42"/>
        <v>0</v>
      </c>
      <c r="AV129" s="318">
        <v>0</v>
      </c>
      <c r="AW129" s="318">
        <v>390</v>
      </c>
      <c r="AX129" s="315"/>
      <c r="AY129" s="636" t="s">
        <v>2073</v>
      </c>
      <c r="AZ129" s="319" t="s">
        <v>171</v>
      </c>
      <c r="BA129" s="319" t="s">
        <v>2041</v>
      </c>
      <c r="BB129" s="318">
        <v>0</v>
      </c>
      <c r="BC129" s="9"/>
      <c r="BD129" s="9"/>
      <c r="BE129" s="50">
        <f t="shared" si="43"/>
        <v>0</v>
      </c>
      <c r="BF129" s="50">
        <f t="shared" si="44"/>
        <v>0</v>
      </c>
      <c r="BG129" s="50">
        <f t="shared" si="45"/>
        <v>0</v>
      </c>
      <c r="BH129" s="50">
        <f t="shared" si="46"/>
        <v>0</v>
      </c>
      <c r="BI129" s="50">
        <f t="shared" si="47"/>
        <v>0</v>
      </c>
      <c r="BJ129" s="50">
        <f t="shared" si="48"/>
        <v>0</v>
      </c>
      <c r="BK129" s="50">
        <f t="shared" si="49"/>
        <v>0</v>
      </c>
      <c r="BL129" s="50">
        <f t="shared" si="50"/>
        <v>0</v>
      </c>
      <c r="BM129" s="50">
        <f t="shared" si="51"/>
        <v>0</v>
      </c>
      <c r="BN129" s="50">
        <f t="shared" si="52"/>
        <v>0</v>
      </c>
      <c r="BO129" s="50">
        <f t="shared" si="53"/>
        <v>0</v>
      </c>
      <c r="BP129" s="50">
        <f t="shared" si="54"/>
        <v>0</v>
      </c>
      <c r="BQ129" s="4" t="str">
        <f t="shared" si="55"/>
        <v>18,45 2025.06.16</v>
      </c>
      <c r="BR129" s="4" t="str">
        <f t="shared" si="56"/>
        <v>18,45 2025.06.16</v>
      </c>
      <c r="BS129" s="4" t="str">
        <f t="shared" si="57"/>
        <v>В</v>
      </c>
      <c r="BT129" s="10">
        <f t="shared" si="58"/>
        <v>0</v>
      </c>
      <c r="BU129" s="42">
        <f t="shared" si="59"/>
        <v>1</v>
      </c>
      <c r="BV129" s="11">
        <f t="shared" si="60"/>
        <v>0</v>
      </c>
      <c r="BW129" s="11">
        <f t="shared" si="61"/>
        <v>0</v>
      </c>
      <c r="BX129" s="11">
        <f t="shared" si="62"/>
        <v>1</v>
      </c>
      <c r="BY129" s="11">
        <f t="shared" si="63"/>
        <v>0</v>
      </c>
      <c r="BZ129" s="11">
        <f t="shared" si="64"/>
        <v>0</v>
      </c>
      <c r="CA129" s="11">
        <f t="shared" si="65"/>
        <v>1</v>
      </c>
      <c r="CB129" s="42">
        <f t="shared" si="66"/>
        <v>0</v>
      </c>
      <c r="CC129" s="11">
        <f t="shared" si="67"/>
        <v>0</v>
      </c>
      <c r="CD129" s="11">
        <f t="shared" si="68"/>
        <v>0</v>
      </c>
      <c r="CE129" s="4"/>
      <c r="CF129" s="50">
        <f t="shared" si="69"/>
        <v>0</v>
      </c>
      <c r="CG129" s="50">
        <f t="shared" si="70"/>
        <v>0</v>
      </c>
      <c r="CH129" s="50">
        <f t="shared" si="71"/>
        <v>0</v>
      </c>
      <c r="CI129" s="50">
        <f t="shared" si="72"/>
        <v>0</v>
      </c>
      <c r="CJ129" s="50">
        <f t="shared" si="73"/>
        <v>0</v>
      </c>
      <c r="CK129" s="50">
        <f t="shared" si="74"/>
        <v>0</v>
      </c>
      <c r="CL129" s="50">
        <f t="shared" si="75"/>
        <v>0</v>
      </c>
      <c r="CM129" s="50">
        <f t="shared" si="76"/>
        <v>0</v>
      </c>
      <c r="CN129" s="50">
        <f t="shared" si="77"/>
        <v>0</v>
      </c>
      <c r="CO129" s="50">
        <f t="shared" si="78"/>
        <v>0</v>
      </c>
      <c r="CP129" s="50">
        <f t="shared" si="79"/>
        <v>0</v>
      </c>
      <c r="CQ129" s="50">
        <f t="shared" si="80"/>
        <v>0</v>
      </c>
      <c r="CR129"/>
    </row>
    <row r="130" spans="2:96" s="419" customFormat="1" ht="15.75" customHeight="1" x14ac:dyDescent="0.15">
      <c r="B130" s="59"/>
      <c r="D130" s="130">
        <v>21</v>
      </c>
      <c r="AA130" s="28" t="s">
        <v>701</v>
      </c>
      <c r="AB130" s="31" t="s">
        <v>1003</v>
      </c>
      <c r="AC130" s="247" t="s">
        <v>1445</v>
      </c>
      <c r="AD130" s="314" t="s">
        <v>110</v>
      </c>
      <c r="AE130" s="315" t="s">
        <v>1588</v>
      </c>
      <c r="AF130" s="316" t="s">
        <v>1432</v>
      </c>
      <c r="AG130" s="248" t="s">
        <v>1764</v>
      </c>
      <c r="AH130" s="248" t="s">
        <v>1764</v>
      </c>
      <c r="AI130" s="248" t="s">
        <v>122</v>
      </c>
      <c r="AJ130" s="317">
        <v>0</v>
      </c>
      <c r="AK130" s="315" t="s">
        <v>1591</v>
      </c>
      <c r="AL130" s="315">
        <v>0</v>
      </c>
      <c r="AM130" s="315">
        <v>0</v>
      </c>
      <c r="AN130" s="42">
        <f t="shared" si="41"/>
        <v>2</v>
      </c>
      <c r="AO130" s="318">
        <v>0</v>
      </c>
      <c r="AP130" s="318">
        <v>0</v>
      </c>
      <c r="AQ130" s="318">
        <v>2</v>
      </c>
      <c r="AR130" s="318">
        <v>0</v>
      </c>
      <c r="AS130" s="318">
        <v>0</v>
      </c>
      <c r="AT130" s="318">
        <v>2</v>
      </c>
      <c r="AU130" s="42">
        <f t="shared" si="42"/>
        <v>0</v>
      </c>
      <c r="AV130" s="318">
        <v>0</v>
      </c>
      <c r="AW130" s="318">
        <v>207</v>
      </c>
      <c r="AX130" s="315"/>
      <c r="AY130" s="636" t="s">
        <v>2074</v>
      </c>
      <c r="AZ130" s="319" t="s">
        <v>199</v>
      </c>
      <c r="BA130" s="319" t="s">
        <v>2041</v>
      </c>
      <c r="BB130" s="318">
        <v>0</v>
      </c>
      <c r="BC130" s="9"/>
      <c r="BD130" s="9"/>
      <c r="BE130" s="50">
        <f t="shared" si="43"/>
        <v>0</v>
      </c>
      <c r="BF130" s="50">
        <f t="shared" si="44"/>
        <v>0</v>
      </c>
      <c r="BG130" s="50">
        <f t="shared" si="45"/>
        <v>0</v>
      </c>
      <c r="BH130" s="50">
        <f t="shared" si="46"/>
        <v>0</v>
      </c>
      <c r="BI130" s="50">
        <f t="shared" si="47"/>
        <v>0</v>
      </c>
      <c r="BJ130" s="50">
        <f t="shared" si="48"/>
        <v>0</v>
      </c>
      <c r="BK130" s="50">
        <f t="shared" si="49"/>
        <v>0</v>
      </c>
      <c r="BL130" s="50">
        <f t="shared" si="50"/>
        <v>0</v>
      </c>
      <c r="BM130" s="50">
        <f t="shared" si="51"/>
        <v>0</v>
      </c>
      <c r="BN130" s="50">
        <f t="shared" si="52"/>
        <v>0</v>
      </c>
      <c r="BO130" s="50">
        <f t="shared" si="53"/>
        <v>0</v>
      </c>
      <c r="BP130" s="50">
        <f t="shared" si="54"/>
        <v>0</v>
      </c>
      <c r="BQ130" s="4" t="str">
        <f t="shared" si="55"/>
        <v>19,06 2025.06.20</v>
      </c>
      <c r="BR130" s="4" t="str">
        <f t="shared" si="56"/>
        <v>19,06 2025.06.20</v>
      </c>
      <c r="BS130" s="4" t="str">
        <f t="shared" si="57"/>
        <v>В</v>
      </c>
      <c r="BT130" s="10">
        <f t="shared" si="58"/>
        <v>0</v>
      </c>
      <c r="BU130" s="42">
        <f t="shared" si="59"/>
        <v>2</v>
      </c>
      <c r="BV130" s="11">
        <f t="shared" si="60"/>
        <v>0</v>
      </c>
      <c r="BW130" s="11">
        <f t="shared" si="61"/>
        <v>0</v>
      </c>
      <c r="BX130" s="11">
        <f t="shared" si="62"/>
        <v>2</v>
      </c>
      <c r="BY130" s="11">
        <f t="shared" si="63"/>
        <v>0</v>
      </c>
      <c r="BZ130" s="11">
        <f t="shared" si="64"/>
        <v>0</v>
      </c>
      <c r="CA130" s="11">
        <f t="shared" si="65"/>
        <v>2</v>
      </c>
      <c r="CB130" s="42">
        <f t="shared" si="66"/>
        <v>0</v>
      </c>
      <c r="CC130" s="11">
        <f t="shared" si="67"/>
        <v>0</v>
      </c>
      <c r="CD130" s="11">
        <f t="shared" si="68"/>
        <v>0</v>
      </c>
      <c r="CE130" s="4"/>
      <c r="CF130" s="50">
        <f t="shared" si="69"/>
        <v>0</v>
      </c>
      <c r="CG130" s="50">
        <f t="shared" si="70"/>
        <v>0</v>
      </c>
      <c r="CH130" s="50">
        <f t="shared" si="71"/>
        <v>0</v>
      </c>
      <c r="CI130" s="50">
        <f t="shared" si="72"/>
        <v>0</v>
      </c>
      <c r="CJ130" s="50">
        <f t="shared" si="73"/>
        <v>0</v>
      </c>
      <c r="CK130" s="50">
        <f t="shared" si="74"/>
        <v>0</v>
      </c>
      <c r="CL130" s="50">
        <f t="shared" si="75"/>
        <v>0</v>
      </c>
      <c r="CM130" s="50">
        <f t="shared" si="76"/>
        <v>0</v>
      </c>
      <c r="CN130" s="50">
        <f t="shared" si="77"/>
        <v>0</v>
      </c>
      <c r="CO130" s="50">
        <f t="shared" si="78"/>
        <v>0</v>
      </c>
      <c r="CP130" s="50">
        <f t="shared" si="79"/>
        <v>0</v>
      </c>
      <c r="CQ130" s="50">
        <f t="shared" si="80"/>
        <v>0</v>
      </c>
      <c r="CR130"/>
    </row>
    <row r="131" spans="2:96" s="420" customFormat="1" ht="15.75" customHeight="1" x14ac:dyDescent="0.15">
      <c r="B131" s="59"/>
      <c r="D131" s="130">
        <v>21</v>
      </c>
      <c r="AA131" s="28" t="s">
        <v>701</v>
      </c>
      <c r="AB131" s="31" t="s">
        <v>1004</v>
      </c>
      <c r="AC131" s="247" t="s">
        <v>1435</v>
      </c>
      <c r="AD131" s="314" t="s">
        <v>110</v>
      </c>
      <c r="AE131" s="315" t="s">
        <v>1765</v>
      </c>
      <c r="AF131" s="316" t="s">
        <v>1432</v>
      </c>
      <c r="AG131" s="248" t="s">
        <v>1766</v>
      </c>
      <c r="AH131" s="248" t="s">
        <v>1766</v>
      </c>
      <c r="AI131" s="248" t="s">
        <v>122</v>
      </c>
      <c r="AJ131" s="317">
        <v>0</v>
      </c>
      <c r="AK131" s="315" t="s">
        <v>1767</v>
      </c>
      <c r="AL131" s="315">
        <v>0</v>
      </c>
      <c r="AM131" s="315">
        <v>0</v>
      </c>
      <c r="AN131" s="42">
        <f t="shared" si="41"/>
        <v>1</v>
      </c>
      <c r="AO131" s="318">
        <v>0</v>
      </c>
      <c r="AP131" s="318">
        <v>0</v>
      </c>
      <c r="AQ131" s="318">
        <v>1</v>
      </c>
      <c r="AR131" s="318">
        <v>0</v>
      </c>
      <c r="AS131" s="318">
        <v>0</v>
      </c>
      <c r="AT131" s="318">
        <v>1</v>
      </c>
      <c r="AU131" s="42">
        <f t="shared" si="42"/>
        <v>0</v>
      </c>
      <c r="AV131" s="318">
        <v>0</v>
      </c>
      <c r="AW131" s="318">
        <v>104</v>
      </c>
      <c r="AX131" s="315"/>
      <c r="AY131" s="636" t="s">
        <v>2075</v>
      </c>
      <c r="AZ131" s="319" t="s">
        <v>199</v>
      </c>
      <c r="BA131" s="319" t="s">
        <v>2041</v>
      </c>
      <c r="BB131" s="318">
        <v>0</v>
      </c>
      <c r="BC131" s="9"/>
      <c r="BD131" s="9"/>
      <c r="BE131" s="50">
        <f t="shared" si="43"/>
        <v>0</v>
      </c>
      <c r="BF131" s="50">
        <f t="shared" si="44"/>
        <v>0</v>
      </c>
      <c r="BG131" s="50">
        <f t="shared" si="45"/>
        <v>0</v>
      </c>
      <c r="BH131" s="50">
        <f t="shared" si="46"/>
        <v>0</v>
      </c>
      <c r="BI131" s="50">
        <f t="shared" si="47"/>
        <v>0</v>
      </c>
      <c r="BJ131" s="50">
        <f t="shared" si="48"/>
        <v>0</v>
      </c>
      <c r="BK131" s="50">
        <f t="shared" si="49"/>
        <v>0</v>
      </c>
      <c r="BL131" s="50">
        <f t="shared" si="50"/>
        <v>0</v>
      </c>
      <c r="BM131" s="50">
        <f t="shared" si="51"/>
        <v>0</v>
      </c>
      <c r="BN131" s="50">
        <f t="shared" si="52"/>
        <v>0</v>
      </c>
      <c r="BO131" s="50">
        <f t="shared" si="53"/>
        <v>0</v>
      </c>
      <c r="BP131" s="50">
        <f t="shared" si="54"/>
        <v>0</v>
      </c>
      <c r="BQ131" s="4" t="str">
        <f t="shared" si="55"/>
        <v>17,04 2025.06.21</v>
      </c>
      <c r="BR131" s="4" t="str">
        <f t="shared" si="56"/>
        <v>17,04 2025.06.21</v>
      </c>
      <c r="BS131" s="4" t="str">
        <f t="shared" si="57"/>
        <v>В</v>
      </c>
      <c r="BT131" s="10">
        <f t="shared" si="58"/>
        <v>0</v>
      </c>
      <c r="BU131" s="42">
        <f t="shared" si="59"/>
        <v>1</v>
      </c>
      <c r="BV131" s="11">
        <f t="shared" si="60"/>
        <v>0</v>
      </c>
      <c r="BW131" s="11">
        <f t="shared" si="61"/>
        <v>0</v>
      </c>
      <c r="BX131" s="11">
        <f t="shared" si="62"/>
        <v>1</v>
      </c>
      <c r="BY131" s="11">
        <f t="shared" si="63"/>
        <v>0</v>
      </c>
      <c r="BZ131" s="11">
        <f t="shared" si="64"/>
        <v>0</v>
      </c>
      <c r="CA131" s="11">
        <f t="shared" si="65"/>
        <v>1</v>
      </c>
      <c r="CB131" s="42">
        <f t="shared" si="66"/>
        <v>0</v>
      </c>
      <c r="CC131" s="11">
        <f t="shared" si="67"/>
        <v>0</v>
      </c>
      <c r="CD131" s="11">
        <f t="shared" si="68"/>
        <v>0</v>
      </c>
      <c r="CE131" s="4"/>
      <c r="CF131" s="50">
        <f t="shared" si="69"/>
        <v>0</v>
      </c>
      <c r="CG131" s="50">
        <f t="shared" si="70"/>
        <v>0</v>
      </c>
      <c r="CH131" s="50">
        <f t="shared" si="71"/>
        <v>0</v>
      </c>
      <c r="CI131" s="50">
        <f t="shared" si="72"/>
        <v>0</v>
      </c>
      <c r="CJ131" s="50">
        <f t="shared" si="73"/>
        <v>0</v>
      </c>
      <c r="CK131" s="50">
        <f t="shared" si="74"/>
        <v>0</v>
      </c>
      <c r="CL131" s="50">
        <f t="shared" si="75"/>
        <v>0</v>
      </c>
      <c r="CM131" s="50">
        <f t="shared" si="76"/>
        <v>0</v>
      </c>
      <c r="CN131" s="50">
        <f t="shared" si="77"/>
        <v>0</v>
      </c>
      <c r="CO131" s="50">
        <f t="shared" si="78"/>
        <v>0</v>
      </c>
      <c r="CP131" s="50">
        <f t="shared" si="79"/>
        <v>0</v>
      </c>
      <c r="CQ131" s="50">
        <f t="shared" si="80"/>
        <v>0</v>
      </c>
      <c r="CR131"/>
    </row>
    <row r="132" spans="2:96" s="421" customFormat="1" ht="15.75" customHeight="1" x14ac:dyDescent="0.15">
      <c r="B132" s="59"/>
      <c r="D132" s="130">
        <v>21</v>
      </c>
      <c r="AA132" s="28" t="s">
        <v>701</v>
      </c>
      <c r="AB132" s="31" t="s">
        <v>1005</v>
      </c>
      <c r="AC132" s="247" t="s">
        <v>1627</v>
      </c>
      <c r="AD132" s="314" t="s">
        <v>110</v>
      </c>
      <c r="AE132" s="315" t="s">
        <v>1768</v>
      </c>
      <c r="AF132" s="316" t="s">
        <v>1495</v>
      </c>
      <c r="AG132" s="248" t="s">
        <v>1769</v>
      </c>
      <c r="AH132" s="248" t="s">
        <v>1769</v>
      </c>
      <c r="AI132" s="248" t="s">
        <v>122</v>
      </c>
      <c r="AJ132" s="317">
        <v>0</v>
      </c>
      <c r="AK132" s="315" t="s">
        <v>1670</v>
      </c>
      <c r="AL132" s="315">
        <v>0</v>
      </c>
      <c r="AM132" s="315">
        <v>0</v>
      </c>
      <c r="AN132" s="42">
        <f t="shared" si="41"/>
        <v>2</v>
      </c>
      <c r="AO132" s="318">
        <v>0</v>
      </c>
      <c r="AP132" s="318">
        <v>0</v>
      </c>
      <c r="AQ132" s="318">
        <v>2</v>
      </c>
      <c r="AR132" s="318">
        <v>0</v>
      </c>
      <c r="AS132" s="318">
        <v>1</v>
      </c>
      <c r="AT132" s="318">
        <v>1</v>
      </c>
      <c r="AU132" s="42">
        <f t="shared" si="42"/>
        <v>0</v>
      </c>
      <c r="AV132" s="318">
        <v>0</v>
      </c>
      <c r="AW132" s="318">
        <v>1174</v>
      </c>
      <c r="AX132" s="315"/>
      <c r="AY132" s="636" t="s">
        <v>2076</v>
      </c>
      <c r="AZ132" s="319" t="s">
        <v>199</v>
      </c>
      <c r="BA132" s="319" t="s">
        <v>2041</v>
      </c>
      <c r="BB132" s="318">
        <v>0</v>
      </c>
      <c r="BC132" s="9"/>
      <c r="BD132" s="9"/>
      <c r="BE132" s="50">
        <f t="shared" si="43"/>
        <v>0</v>
      </c>
      <c r="BF132" s="50">
        <f t="shared" si="44"/>
        <v>0</v>
      </c>
      <c r="BG132" s="50">
        <f t="shared" si="45"/>
        <v>0</v>
      </c>
      <c r="BH132" s="50">
        <f t="shared" si="46"/>
        <v>0</v>
      </c>
      <c r="BI132" s="50">
        <f t="shared" si="47"/>
        <v>0</v>
      </c>
      <c r="BJ132" s="50">
        <f t="shared" si="48"/>
        <v>0</v>
      </c>
      <c r="BK132" s="50">
        <f t="shared" si="49"/>
        <v>0</v>
      </c>
      <c r="BL132" s="50">
        <f t="shared" si="50"/>
        <v>0</v>
      </c>
      <c r="BM132" s="50">
        <f t="shared" si="51"/>
        <v>0</v>
      </c>
      <c r="BN132" s="50">
        <f t="shared" si="52"/>
        <v>0</v>
      </c>
      <c r="BO132" s="50">
        <f t="shared" si="53"/>
        <v>0</v>
      </c>
      <c r="BP132" s="50">
        <f t="shared" si="54"/>
        <v>0</v>
      </c>
      <c r="BQ132" s="4" t="str">
        <f t="shared" si="55"/>
        <v>15,47 2025.06.22</v>
      </c>
      <c r="BR132" s="4" t="str">
        <f t="shared" si="56"/>
        <v>15,47 2025.06.22</v>
      </c>
      <c r="BS132" s="4" t="str">
        <f t="shared" si="57"/>
        <v>В</v>
      </c>
      <c r="BT132" s="10">
        <f t="shared" si="58"/>
        <v>0</v>
      </c>
      <c r="BU132" s="42">
        <f t="shared" si="59"/>
        <v>2</v>
      </c>
      <c r="BV132" s="11">
        <f t="shared" si="60"/>
        <v>0</v>
      </c>
      <c r="BW132" s="11">
        <f t="shared" si="61"/>
        <v>0</v>
      </c>
      <c r="BX132" s="11">
        <f t="shared" si="62"/>
        <v>2</v>
      </c>
      <c r="BY132" s="11">
        <f t="shared" si="63"/>
        <v>0</v>
      </c>
      <c r="BZ132" s="11">
        <f t="shared" si="64"/>
        <v>1</v>
      </c>
      <c r="CA132" s="11">
        <f t="shared" si="65"/>
        <v>1</v>
      </c>
      <c r="CB132" s="42">
        <f t="shared" si="66"/>
        <v>0</v>
      </c>
      <c r="CC132" s="11">
        <f t="shared" si="67"/>
        <v>0</v>
      </c>
      <c r="CD132" s="11">
        <f t="shared" si="68"/>
        <v>0</v>
      </c>
      <c r="CE132" s="4"/>
      <c r="CF132" s="50">
        <f t="shared" si="69"/>
        <v>0</v>
      </c>
      <c r="CG132" s="50">
        <f t="shared" si="70"/>
        <v>0</v>
      </c>
      <c r="CH132" s="50">
        <f t="shared" si="71"/>
        <v>0</v>
      </c>
      <c r="CI132" s="50">
        <f t="shared" si="72"/>
        <v>0</v>
      </c>
      <c r="CJ132" s="50">
        <f t="shared" si="73"/>
        <v>0</v>
      </c>
      <c r="CK132" s="50">
        <f t="shared" si="74"/>
        <v>0</v>
      </c>
      <c r="CL132" s="50">
        <f t="shared" si="75"/>
        <v>0</v>
      </c>
      <c r="CM132" s="50">
        <f t="shared" si="76"/>
        <v>0</v>
      </c>
      <c r="CN132" s="50">
        <f t="shared" si="77"/>
        <v>0</v>
      </c>
      <c r="CO132" s="50">
        <f t="shared" si="78"/>
        <v>0</v>
      </c>
      <c r="CP132" s="50">
        <f t="shared" si="79"/>
        <v>0</v>
      </c>
      <c r="CQ132" s="50">
        <f t="shared" si="80"/>
        <v>0</v>
      </c>
      <c r="CR132"/>
    </row>
    <row r="133" spans="2:96" s="422" customFormat="1" ht="15.75" customHeight="1" x14ac:dyDescent="0.15">
      <c r="B133" s="59"/>
      <c r="D133" s="130">
        <v>21</v>
      </c>
      <c r="AA133" s="28" t="s">
        <v>701</v>
      </c>
      <c r="AB133" s="31" t="s">
        <v>1006</v>
      </c>
      <c r="AC133" s="247" t="s">
        <v>1627</v>
      </c>
      <c r="AD133" s="314" t="s">
        <v>110</v>
      </c>
      <c r="AE133" s="315" t="s">
        <v>1770</v>
      </c>
      <c r="AF133" s="316" t="s">
        <v>1495</v>
      </c>
      <c r="AG133" s="248" t="s">
        <v>1771</v>
      </c>
      <c r="AH133" s="248" t="s">
        <v>1771</v>
      </c>
      <c r="AI133" s="248" t="s">
        <v>122</v>
      </c>
      <c r="AJ133" s="317">
        <v>0</v>
      </c>
      <c r="AK133" s="315" t="s">
        <v>1772</v>
      </c>
      <c r="AL133" s="315">
        <v>0</v>
      </c>
      <c r="AM133" s="315">
        <v>0</v>
      </c>
      <c r="AN133" s="42">
        <f t="shared" si="41"/>
        <v>1</v>
      </c>
      <c r="AO133" s="318">
        <v>0</v>
      </c>
      <c r="AP133" s="318">
        <v>0</v>
      </c>
      <c r="AQ133" s="318">
        <v>1</v>
      </c>
      <c r="AR133" s="318">
        <v>0</v>
      </c>
      <c r="AS133" s="318">
        <v>0</v>
      </c>
      <c r="AT133" s="318">
        <v>1</v>
      </c>
      <c r="AU133" s="42">
        <f t="shared" si="42"/>
        <v>0</v>
      </c>
      <c r="AV133" s="318">
        <v>0</v>
      </c>
      <c r="AW133" s="318">
        <v>1126</v>
      </c>
      <c r="AX133" s="315"/>
      <c r="AY133" s="636" t="s">
        <v>2077</v>
      </c>
      <c r="AZ133" s="319" t="s">
        <v>199</v>
      </c>
      <c r="BA133" s="319" t="s">
        <v>2078</v>
      </c>
      <c r="BB133" s="318">
        <v>0</v>
      </c>
      <c r="BC133" s="9"/>
      <c r="BD133" s="9"/>
      <c r="BE133" s="50">
        <f t="shared" si="43"/>
        <v>0</v>
      </c>
      <c r="BF133" s="50">
        <f t="shared" si="44"/>
        <v>0</v>
      </c>
      <c r="BG133" s="50">
        <f t="shared" si="45"/>
        <v>0</v>
      </c>
      <c r="BH133" s="50">
        <f t="shared" si="46"/>
        <v>0</v>
      </c>
      <c r="BI133" s="50">
        <f t="shared" si="47"/>
        <v>0</v>
      </c>
      <c r="BJ133" s="50">
        <f t="shared" si="48"/>
        <v>0</v>
      </c>
      <c r="BK133" s="50">
        <f t="shared" si="49"/>
        <v>0</v>
      </c>
      <c r="BL133" s="50">
        <f t="shared" si="50"/>
        <v>0</v>
      </c>
      <c r="BM133" s="50">
        <f t="shared" si="51"/>
        <v>0</v>
      </c>
      <c r="BN133" s="50">
        <f t="shared" si="52"/>
        <v>0</v>
      </c>
      <c r="BO133" s="50">
        <f t="shared" si="53"/>
        <v>0</v>
      </c>
      <c r="BP133" s="50">
        <f t="shared" si="54"/>
        <v>0</v>
      </c>
      <c r="BQ133" s="4" t="str">
        <f t="shared" si="55"/>
        <v>17,44 2025.06.22</v>
      </c>
      <c r="BR133" s="4" t="str">
        <f t="shared" si="56"/>
        <v>17,44 2025.06.22</v>
      </c>
      <c r="BS133" s="4" t="str">
        <f t="shared" si="57"/>
        <v>В</v>
      </c>
      <c r="BT133" s="10">
        <f t="shared" si="58"/>
        <v>0</v>
      </c>
      <c r="BU133" s="42">
        <f t="shared" si="59"/>
        <v>1</v>
      </c>
      <c r="BV133" s="11">
        <f t="shared" si="60"/>
        <v>0</v>
      </c>
      <c r="BW133" s="11">
        <f t="shared" si="61"/>
        <v>0</v>
      </c>
      <c r="BX133" s="11">
        <f t="shared" si="62"/>
        <v>1</v>
      </c>
      <c r="BY133" s="11">
        <f t="shared" si="63"/>
        <v>0</v>
      </c>
      <c r="BZ133" s="11">
        <f t="shared" si="64"/>
        <v>0</v>
      </c>
      <c r="CA133" s="11">
        <f t="shared" si="65"/>
        <v>1</v>
      </c>
      <c r="CB133" s="42">
        <f t="shared" si="66"/>
        <v>0</v>
      </c>
      <c r="CC133" s="11">
        <f t="shared" si="67"/>
        <v>0</v>
      </c>
      <c r="CD133" s="11">
        <f t="shared" si="68"/>
        <v>0</v>
      </c>
      <c r="CE133" s="4"/>
      <c r="CF133" s="50">
        <f t="shared" si="69"/>
        <v>0</v>
      </c>
      <c r="CG133" s="50">
        <f t="shared" si="70"/>
        <v>0</v>
      </c>
      <c r="CH133" s="50">
        <f t="shared" si="71"/>
        <v>0</v>
      </c>
      <c r="CI133" s="50">
        <f t="shared" si="72"/>
        <v>0</v>
      </c>
      <c r="CJ133" s="50">
        <f t="shared" si="73"/>
        <v>0</v>
      </c>
      <c r="CK133" s="50">
        <f t="shared" si="74"/>
        <v>0</v>
      </c>
      <c r="CL133" s="50">
        <f t="shared" si="75"/>
        <v>0</v>
      </c>
      <c r="CM133" s="50">
        <f t="shared" si="76"/>
        <v>0</v>
      </c>
      <c r="CN133" s="50">
        <f t="shared" si="77"/>
        <v>0</v>
      </c>
      <c r="CO133" s="50">
        <f t="shared" si="78"/>
        <v>0</v>
      </c>
      <c r="CP133" s="50">
        <f t="shared" si="79"/>
        <v>0</v>
      </c>
      <c r="CQ133" s="50">
        <f t="shared" si="80"/>
        <v>0</v>
      </c>
      <c r="CR133"/>
    </row>
    <row r="134" spans="2:96" s="423" customFormat="1" ht="15.75" customHeight="1" x14ac:dyDescent="0.15">
      <c r="B134" s="59"/>
      <c r="D134" s="130">
        <v>21</v>
      </c>
      <c r="AA134" s="28" t="s">
        <v>701</v>
      </c>
      <c r="AB134" s="31" t="s">
        <v>1007</v>
      </c>
      <c r="AC134" s="247" t="s">
        <v>1445</v>
      </c>
      <c r="AD134" s="314" t="s">
        <v>110</v>
      </c>
      <c r="AE134" s="315" t="s">
        <v>1588</v>
      </c>
      <c r="AF134" s="316" t="s">
        <v>1432</v>
      </c>
      <c r="AG134" s="248" t="s">
        <v>1773</v>
      </c>
      <c r="AH134" s="248" t="s">
        <v>1774</v>
      </c>
      <c r="AI134" s="248" t="s">
        <v>100</v>
      </c>
      <c r="AJ134" s="317">
        <v>3.3333333267364602E-2</v>
      </c>
      <c r="AK134" s="315" t="s">
        <v>1591</v>
      </c>
      <c r="AL134" s="315">
        <v>0</v>
      </c>
      <c r="AM134" s="315">
        <v>0</v>
      </c>
      <c r="AN134" s="42">
        <f t="shared" si="41"/>
        <v>1</v>
      </c>
      <c r="AO134" s="318">
        <v>0</v>
      </c>
      <c r="AP134" s="318">
        <v>0</v>
      </c>
      <c r="AQ134" s="318">
        <v>1</v>
      </c>
      <c r="AR134" s="318">
        <v>0</v>
      </c>
      <c r="AS134" s="318">
        <v>0</v>
      </c>
      <c r="AT134" s="318">
        <v>1</v>
      </c>
      <c r="AU134" s="42">
        <f t="shared" si="42"/>
        <v>0</v>
      </c>
      <c r="AV134" s="318">
        <v>0</v>
      </c>
      <c r="AW134" s="318">
        <v>207</v>
      </c>
      <c r="AX134" s="315"/>
      <c r="AY134" s="636"/>
      <c r="AZ134" s="319"/>
      <c r="BA134" s="319"/>
      <c r="BB134" s="318">
        <v>1</v>
      </c>
      <c r="BC134" s="9"/>
      <c r="BD134" s="9"/>
      <c r="BE134" s="50">
        <f t="shared" si="43"/>
        <v>0</v>
      </c>
      <c r="BF134" s="50">
        <f t="shared" si="44"/>
        <v>0</v>
      </c>
      <c r="BG134" s="50">
        <f t="shared" si="45"/>
        <v>3.3333333267364602E-2</v>
      </c>
      <c r="BH134" s="50">
        <f t="shared" si="46"/>
        <v>1</v>
      </c>
      <c r="BI134" s="50">
        <f t="shared" si="47"/>
        <v>0</v>
      </c>
      <c r="BJ134" s="50">
        <f t="shared" si="48"/>
        <v>0</v>
      </c>
      <c r="BK134" s="50">
        <f t="shared" si="49"/>
        <v>0</v>
      </c>
      <c r="BL134" s="50">
        <f t="shared" si="50"/>
        <v>0</v>
      </c>
      <c r="BM134" s="50">
        <f t="shared" si="51"/>
        <v>3.3333333267364602E-2</v>
      </c>
      <c r="BN134" s="50">
        <f t="shared" si="52"/>
        <v>1</v>
      </c>
      <c r="BO134" s="50">
        <f t="shared" si="53"/>
        <v>0</v>
      </c>
      <c r="BP134" s="50">
        <f t="shared" si="54"/>
        <v>0</v>
      </c>
      <c r="BQ134" s="4" t="str">
        <f t="shared" si="55"/>
        <v>17,51 2025.06.27</v>
      </c>
      <c r="BR134" s="4" t="str">
        <f t="shared" si="56"/>
        <v>17,53 2025.06.27</v>
      </c>
      <c r="BS134" s="4" t="str">
        <f t="shared" si="57"/>
        <v>П</v>
      </c>
      <c r="BT134" s="10">
        <f t="shared" si="58"/>
        <v>3.3333333267364602E-2</v>
      </c>
      <c r="BU134" s="42">
        <f t="shared" si="59"/>
        <v>1</v>
      </c>
      <c r="BV134" s="11">
        <f t="shared" si="60"/>
        <v>0</v>
      </c>
      <c r="BW134" s="11">
        <f t="shared" si="61"/>
        <v>0</v>
      </c>
      <c r="BX134" s="11">
        <f t="shared" si="62"/>
        <v>1</v>
      </c>
      <c r="BY134" s="11">
        <f t="shared" si="63"/>
        <v>0</v>
      </c>
      <c r="BZ134" s="11">
        <f t="shared" si="64"/>
        <v>0</v>
      </c>
      <c r="CA134" s="11">
        <f t="shared" si="65"/>
        <v>1</v>
      </c>
      <c r="CB134" s="42">
        <f t="shared" si="66"/>
        <v>0</v>
      </c>
      <c r="CC134" s="11">
        <f t="shared" si="67"/>
        <v>0</v>
      </c>
      <c r="CD134" s="11">
        <f t="shared" si="68"/>
        <v>1</v>
      </c>
      <c r="CE134" s="4"/>
      <c r="CF134" s="50">
        <f t="shared" si="69"/>
        <v>0</v>
      </c>
      <c r="CG134" s="50">
        <f t="shared" si="70"/>
        <v>0</v>
      </c>
      <c r="CH134" s="50">
        <f t="shared" si="71"/>
        <v>3.3333333267364602E-2</v>
      </c>
      <c r="CI134" s="50">
        <f t="shared" si="72"/>
        <v>1</v>
      </c>
      <c r="CJ134" s="50">
        <f t="shared" si="73"/>
        <v>0</v>
      </c>
      <c r="CK134" s="50">
        <f t="shared" si="74"/>
        <v>0</v>
      </c>
      <c r="CL134" s="50">
        <f t="shared" si="75"/>
        <v>0</v>
      </c>
      <c r="CM134" s="50">
        <f t="shared" si="76"/>
        <v>0</v>
      </c>
      <c r="CN134" s="50">
        <f t="shared" si="77"/>
        <v>3.3333333267364602E-2</v>
      </c>
      <c r="CO134" s="50">
        <f t="shared" si="78"/>
        <v>1</v>
      </c>
      <c r="CP134" s="50">
        <f t="shared" si="79"/>
        <v>0</v>
      </c>
      <c r="CQ134" s="50">
        <f t="shared" si="80"/>
        <v>0</v>
      </c>
      <c r="CR134"/>
    </row>
    <row r="135" spans="2:96" s="424" customFormat="1" ht="15.75" customHeight="1" x14ac:dyDescent="0.15">
      <c r="B135" s="59"/>
      <c r="D135" s="130">
        <v>21</v>
      </c>
      <c r="AA135" s="28" t="s">
        <v>701</v>
      </c>
      <c r="AB135" s="31" t="s">
        <v>1008</v>
      </c>
      <c r="AC135" s="247" t="s">
        <v>1445</v>
      </c>
      <c r="AD135" s="314" t="s">
        <v>110</v>
      </c>
      <c r="AE135" s="315" t="s">
        <v>1588</v>
      </c>
      <c r="AF135" s="316" t="s">
        <v>1432</v>
      </c>
      <c r="AG135" s="248" t="s">
        <v>1775</v>
      </c>
      <c r="AH135" s="248" t="s">
        <v>1776</v>
      </c>
      <c r="AI135" s="248" t="s">
        <v>100</v>
      </c>
      <c r="AJ135" s="317">
        <v>2.3666666666977099</v>
      </c>
      <c r="AK135" s="315" t="s">
        <v>1591</v>
      </c>
      <c r="AL135" s="315">
        <v>0</v>
      </c>
      <c r="AM135" s="315">
        <v>0</v>
      </c>
      <c r="AN135" s="42">
        <f t="shared" si="41"/>
        <v>1</v>
      </c>
      <c r="AO135" s="318">
        <v>0</v>
      </c>
      <c r="AP135" s="318">
        <v>0</v>
      </c>
      <c r="AQ135" s="318">
        <v>1</v>
      </c>
      <c r="AR135" s="318">
        <v>0</v>
      </c>
      <c r="AS135" s="318">
        <v>0</v>
      </c>
      <c r="AT135" s="318">
        <v>1</v>
      </c>
      <c r="AU135" s="42">
        <f t="shared" si="42"/>
        <v>0</v>
      </c>
      <c r="AV135" s="318">
        <v>0</v>
      </c>
      <c r="AW135" s="318">
        <v>207</v>
      </c>
      <c r="AX135" s="315"/>
      <c r="AY135" s="636"/>
      <c r="AZ135" s="319"/>
      <c r="BA135" s="319"/>
      <c r="BB135" s="318">
        <v>1</v>
      </c>
      <c r="BC135" s="9"/>
      <c r="BD135" s="9"/>
      <c r="BE135" s="50">
        <f t="shared" si="43"/>
        <v>0</v>
      </c>
      <c r="BF135" s="50">
        <f t="shared" si="44"/>
        <v>0</v>
      </c>
      <c r="BG135" s="50">
        <f t="shared" si="45"/>
        <v>2.3666666666977099</v>
      </c>
      <c r="BH135" s="50">
        <f t="shared" si="46"/>
        <v>1</v>
      </c>
      <c r="BI135" s="50">
        <f t="shared" si="47"/>
        <v>0</v>
      </c>
      <c r="BJ135" s="50">
        <f t="shared" si="48"/>
        <v>0</v>
      </c>
      <c r="BK135" s="50">
        <f t="shared" si="49"/>
        <v>0</v>
      </c>
      <c r="BL135" s="50">
        <f t="shared" si="50"/>
        <v>0</v>
      </c>
      <c r="BM135" s="50">
        <f t="shared" si="51"/>
        <v>2.3666666666977099</v>
      </c>
      <c r="BN135" s="50">
        <f t="shared" si="52"/>
        <v>1</v>
      </c>
      <c r="BO135" s="50">
        <f t="shared" si="53"/>
        <v>0</v>
      </c>
      <c r="BP135" s="50">
        <f t="shared" si="54"/>
        <v>0</v>
      </c>
      <c r="BQ135" s="4" t="str">
        <f t="shared" si="55"/>
        <v>15,49 2025.06.28</v>
      </c>
      <c r="BR135" s="4" t="str">
        <f t="shared" si="56"/>
        <v>18,11 2025.06.28</v>
      </c>
      <c r="BS135" s="4" t="str">
        <f t="shared" si="57"/>
        <v>П</v>
      </c>
      <c r="BT135" s="10">
        <f t="shared" si="58"/>
        <v>2.3666666666977099</v>
      </c>
      <c r="BU135" s="42">
        <f t="shared" si="59"/>
        <v>1</v>
      </c>
      <c r="BV135" s="11">
        <f t="shared" si="60"/>
        <v>0</v>
      </c>
      <c r="BW135" s="11">
        <f t="shared" si="61"/>
        <v>0</v>
      </c>
      <c r="BX135" s="11">
        <f t="shared" si="62"/>
        <v>1</v>
      </c>
      <c r="BY135" s="11">
        <f t="shared" si="63"/>
        <v>0</v>
      </c>
      <c r="BZ135" s="11">
        <f t="shared" si="64"/>
        <v>0</v>
      </c>
      <c r="CA135" s="11">
        <f t="shared" si="65"/>
        <v>1</v>
      </c>
      <c r="CB135" s="42">
        <f t="shared" si="66"/>
        <v>0</v>
      </c>
      <c r="CC135" s="11">
        <f t="shared" si="67"/>
        <v>0</v>
      </c>
      <c r="CD135" s="11">
        <f t="shared" si="68"/>
        <v>1</v>
      </c>
      <c r="CE135" s="4"/>
      <c r="CF135" s="50">
        <f t="shared" si="69"/>
        <v>0</v>
      </c>
      <c r="CG135" s="50">
        <f t="shared" si="70"/>
        <v>0</v>
      </c>
      <c r="CH135" s="50">
        <f t="shared" si="71"/>
        <v>2.3666666666977099</v>
      </c>
      <c r="CI135" s="50">
        <f t="shared" si="72"/>
        <v>1</v>
      </c>
      <c r="CJ135" s="50">
        <f t="shared" si="73"/>
        <v>0</v>
      </c>
      <c r="CK135" s="50">
        <f t="shared" si="74"/>
        <v>0</v>
      </c>
      <c r="CL135" s="50">
        <f t="shared" si="75"/>
        <v>0</v>
      </c>
      <c r="CM135" s="50">
        <f t="shared" si="76"/>
        <v>0</v>
      </c>
      <c r="CN135" s="50">
        <f t="shared" si="77"/>
        <v>2.3666666666977099</v>
      </c>
      <c r="CO135" s="50">
        <f t="shared" si="78"/>
        <v>1</v>
      </c>
      <c r="CP135" s="50">
        <f t="shared" si="79"/>
        <v>0</v>
      </c>
      <c r="CQ135" s="50">
        <f t="shared" si="80"/>
        <v>0</v>
      </c>
      <c r="CR135"/>
    </row>
    <row r="136" spans="2:96" s="425" customFormat="1" ht="15.75" customHeight="1" x14ac:dyDescent="0.15">
      <c r="B136" s="59"/>
      <c r="D136" s="130">
        <v>21</v>
      </c>
      <c r="AA136" s="28" t="s">
        <v>701</v>
      </c>
      <c r="AB136" s="31" t="s">
        <v>1009</v>
      </c>
      <c r="AC136" s="247" t="s">
        <v>1435</v>
      </c>
      <c r="AD136" s="314" t="s">
        <v>110</v>
      </c>
      <c r="AE136" s="315" t="s">
        <v>1777</v>
      </c>
      <c r="AF136" s="316" t="s">
        <v>1432</v>
      </c>
      <c r="AG136" s="248" t="s">
        <v>1778</v>
      </c>
      <c r="AH136" s="248" t="s">
        <v>1779</v>
      </c>
      <c r="AI136" s="248" t="s">
        <v>122</v>
      </c>
      <c r="AJ136" s="317">
        <v>0.70000000001164198</v>
      </c>
      <c r="AK136" s="315" t="s">
        <v>1780</v>
      </c>
      <c r="AL136" s="315">
        <v>0</v>
      </c>
      <c r="AM136" s="315">
        <v>0</v>
      </c>
      <c r="AN136" s="42">
        <f t="shared" si="41"/>
        <v>1</v>
      </c>
      <c r="AO136" s="318">
        <v>0</v>
      </c>
      <c r="AP136" s="318">
        <v>0</v>
      </c>
      <c r="AQ136" s="318">
        <v>1</v>
      </c>
      <c r="AR136" s="318">
        <v>0</v>
      </c>
      <c r="AS136" s="318">
        <v>0</v>
      </c>
      <c r="AT136" s="318">
        <v>1</v>
      </c>
      <c r="AU136" s="42">
        <f t="shared" si="42"/>
        <v>0</v>
      </c>
      <c r="AV136" s="318">
        <v>0</v>
      </c>
      <c r="AW136" s="318">
        <v>520</v>
      </c>
      <c r="AX136" s="315"/>
      <c r="AY136" s="636" t="s">
        <v>2079</v>
      </c>
      <c r="AZ136" s="319" t="s">
        <v>194</v>
      </c>
      <c r="BA136" s="319" t="s">
        <v>2041</v>
      </c>
      <c r="BB136" s="318">
        <v>0</v>
      </c>
      <c r="BC136" s="9"/>
      <c r="BD136" s="9"/>
      <c r="BE136" s="50">
        <f t="shared" si="43"/>
        <v>0</v>
      </c>
      <c r="BF136" s="50">
        <f t="shared" si="44"/>
        <v>0</v>
      </c>
      <c r="BG136" s="50">
        <f t="shared" si="45"/>
        <v>0</v>
      </c>
      <c r="BH136" s="50">
        <f t="shared" si="46"/>
        <v>0</v>
      </c>
      <c r="BI136" s="50">
        <f t="shared" si="47"/>
        <v>0</v>
      </c>
      <c r="BJ136" s="50">
        <f t="shared" si="48"/>
        <v>0</v>
      </c>
      <c r="BK136" s="50">
        <f t="shared" si="49"/>
        <v>0</v>
      </c>
      <c r="BL136" s="50">
        <f t="shared" si="50"/>
        <v>0</v>
      </c>
      <c r="BM136" s="50">
        <f t="shared" si="51"/>
        <v>0</v>
      </c>
      <c r="BN136" s="50">
        <f t="shared" si="52"/>
        <v>0</v>
      </c>
      <c r="BO136" s="50">
        <f t="shared" si="53"/>
        <v>0</v>
      </c>
      <c r="BP136" s="50">
        <f t="shared" si="54"/>
        <v>0</v>
      </c>
      <c r="BQ136" s="4" t="str">
        <f t="shared" si="55"/>
        <v>04,01 2025.06.30</v>
      </c>
      <c r="BR136" s="4" t="str">
        <f t="shared" si="56"/>
        <v>04,43 2025.06.30</v>
      </c>
      <c r="BS136" s="4" t="str">
        <f t="shared" si="57"/>
        <v>В</v>
      </c>
      <c r="BT136" s="10">
        <f t="shared" si="58"/>
        <v>0.70000000001164198</v>
      </c>
      <c r="BU136" s="42">
        <f t="shared" si="59"/>
        <v>1</v>
      </c>
      <c r="BV136" s="11">
        <f t="shared" si="60"/>
        <v>0</v>
      </c>
      <c r="BW136" s="11">
        <f t="shared" si="61"/>
        <v>0</v>
      </c>
      <c r="BX136" s="11">
        <f t="shared" si="62"/>
        <v>1</v>
      </c>
      <c r="BY136" s="11">
        <f t="shared" si="63"/>
        <v>0</v>
      </c>
      <c r="BZ136" s="11">
        <f t="shared" si="64"/>
        <v>0</v>
      </c>
      <c r="CA136" s="11">
        <f t="shared" si="65"/>
        <v>1</v>
      </c>
      <c r="CB136" s="42">
        <f t="shared" si="66"/>
        <v>0</v>
      </c>
      <c r="CC136" s="11">
        <f t="shared" si="67"/>
        <v>0</v>
      </c>
      <c r="CD136" s="11">
        <f t="shared" si="68"/>
        <v>0</v>
      </c>
      <c r="CE136" s="4"/>
      <c r="CF136" s="50">
        <f t="shared" si="69"/>
        <v>0</v>
      </c>
      <c r="CG136" s="50">
        <f t="shared" si="70"/>
        <v>0</v>
      </c>
      <c r="CH136" s="50">
        <f t="shared" si="71"/>
        <v>0</v>
      </c>
      <c r="CI136" s="50">
        <f t="shared" si="72"/>
        <v>0</v>
      </c>
      <c r="CJ136" s="50">
        <f t="shared" si="73"/>
        <v>0</v>
      </c>
      <c r="CK136" s="50">
        <f t="shared" si="74"/>
        <v>0</v>
      </c>
      <c r="CL136" s="50">
        <f t="shared" si="75"/>
        <v>0</v>
      </c>
      <c r="CM136" s="50">
        <f t="shared" si="76"/>
        <v>0</v>
      </c>
      <c r="CN136" s="50">
        <f t="shared" si="77"/>
        <v>0</v>
      </c>
      <c r="CO136" s="50">
        <f t="shared" si="78"/>
        <v>0</v>
      </c>
      <c r="CP136" s="50">
        <f t="shared" si="79"/>
        <v>0</v>
      </c>
      <c r="CQ136" s="50">
        <f t="shared" si="80"/>
        <v>0</v>
      </c>
      <c r="CR136"/>
    </row>
    <row r="137" spans="2:96" s="426" customFormat="1" ht="15.75" customHeight="1" x14ac:dyDescent="0.15">
      <c r="B137" s="59"/>
      <c r="D137" s="130">
        <v>21</v>
      </c>
      <c r="AA137" s="28" t="s">
        <v>701</v>
      </c>
      <c r="AB137" s="31" t="s">
        <v>1010</v>
      </c>
      <c r="AC137" s="247" t="s">
        <v>1435</v>
      </c>
      <c r="AD137" s="314" t="s">
        <v>110</v>
      </c>
      <c r="AE137" s="315" t="s">
        <v>1781</v>
      </c>
      <c r="AF137" s="316" t="s">
        <v>1432</v>
      </c>
      <c r="AG137" s="248" t="s">
        <v>1782</v>
      </c>
      <c r="AH137" s="248" t="s">
        <v>1782</v>
      </c>
      <c r="AI137" s="248" t="s">
        <v>122</v>
      </c>
      <c r="AJ137" s="317">
        <v>0</v>
      </c>
      <c r="AK137" s="315" t="s">
        <v>1781</v>
      </c>
      <c r="AL137" s="315">
        <v>0</v>
      </c>
      <c r="AM137" s="315">
        <v>0</v>
      </c>
      <c r="AN137" s="42">
        <f t="shared" si="41"/>
        <v>1</v>
      </c>
      <c r="AO137" s="318">
        <v>0</v>
      </c>
      <c r="AP137" s="318">
        <v>0</v>
      </c>
      <c r="AQ137" s="318">
        <v>1</v>
      </c>
      <c r="AR137" s="318">
        <v>0</v>
      </c>
      <c r="AS137" s="318">
        <v>0</v>
      </c>
      <c r="AT137" s="318">
        <v>1</v>
      </c>
      <c r="AU137" s="42">
        <f t="shared" si="42"/>
        <v>0</v>
      </c>
      <c r="AV137" s="318">
        <v>0</v>
      </c>
      <c r="AW137" s="318">
        <v>612</v>
      </c>
      <c r="AX137" s="315"/>
      <c r="AY137" s="636" t="s">
        <v>2080</v>
      </c>
      <c r="AZ137" s="319" t="s">
        <v>199</v>
      </c>
      <c r="BA137" s="319" t="s">
        <v>2041</v>
      </c>
      <c r="BB137" s="318">
        <v>0</v>
      </c>
      <c r="BC137" s="9"/>
      <c r="BD137" s="9"/>
      <c r="BE137" s="50">
        <f t="shared" si="43"/>
        <v>0</v>
      </c>
      <c r="BF137" s="50">
        <f t="shared" si="44"/>
        <v>0</v>
      </c>
      <c r="BG137" s="50">
        <f t="shared" si="45"/>
        <v>0</v>
      </c>
      <c r="BH137" s="50">
        <f t="shared" si="46"/>
        <v>0</v>
      </c>
      <c r="BI137" s="50">
        <f t="shared" si="47"/>
        <v>0</v>
      </c>
      <c r="BJ137" s="50">
        <f t="shared" si="48"/>
        <v>0</v>
      </c>
      <c r="BK137" s="50">
        <f t="shared" si="49"/>
        <v>0</v>
      </c>
      <c r="BL137" s="50">
        <f t="shared" si="50"/>
        <v>0</v>
      </c>
      <c r="BM137" s="50">
        <f t="shared" si="51"/>
        <v>0</v>
      </c>
      <c r="BN137" s="50">
        <f t="shared" si="52"/>
        <v>0</v>
      </c>
      <c r="BO137" s="50">
        <f t="shared" si="53"/>
        <v>0</v>
      </c>
      <c r="BP137" s="50">
        <f t="shared" si="54"/>
        <v>0</v>
      </c>
      <c r="BQ137" s="4" t="str">
        <f t="shared" si="55"/>
        <v>15,50 2025.06.30</v>
      </c>
      <c r="BR137" s="4" t="str">
        <f t="shared" si="56"/>
        <v>15,50 2025.06.30</v>
      </c>
      <c r="BS137" s="4" t="str">
        <f t="shared" si="57"/>
        <v>В</v>
      </c>
      <c r="BT137" s="10">
        <f t="shared" si="58"/>
        <v>0</v>
      </c>
      <c r="BU137" s="42">
        <f t="shared" si="59"/>
        <v>1</v>
      </c>
      <c r="BV137" s="11">
        <f t="shared" si="60"/>
        <v>0</v>
      </c>
      <c r="BW137" s="11">
        <f t="shared" si="61"/>
        <v>0</v>
      </c>
      <c r="BX137" s="11">
        <f t="shared" si="62"/>
        <v>1</v>
      </c>
      <c r="BY137" s="11">
        <f t="shared" si="63"/>
        <v>0</v>
      </c>
      <c r="BZ137" s="11">
        <f t="shared" si="64"/>
        <v>0</v>
      </c>
      <c r="CA137" s="11">
        <f t="shared" si="65"/>
        <v>1</v>
      </c>
      <c r="CB137" s="42">
        <f t="shared" si="66"/>
        <v>0</v>
      </c>
      <c r="CC137" s="11">
        <f t="shared" si="67"/>
        <v>0</v>
      </c>
      <c r="CD137" s="11">
        <f t="shared" si="68"/>
        <v>0</v>
      </c>
      <c r="CE137" s="4"/>
      <c r="CF137" s="50">
        <f t="shared" si="69"/>
        <v>0</v>
      </c>
      <c r="CG137" s="50">
        <f t="shared" si="70"/>
        <v>0</v>
      </c>
      <c r="CH137" s="50">
        <f t="shared" si="71"/>
        <v>0</v>
      </c>
      <c r="CI137" s="50">
        <f t="shared" si="72"/>
        <v>0</v>
      </c>
      <c r="CJ137" s="50">
        <f t="shared" si="73"/>
        <v>0</v>
      </c>
      <c r="CK137" s="50">
        <f t="shared" si="74"/>
        <v>0</v>
      </c>
      <c r="CL137" s="50">
        <f t="shared" si="75"/>
        <v>0</v>
      </c>
      <c r="CM137" s="50">
        <f t="shared" si="76"/>
        <v>0</v>
      </c>
      <c r="CN137" s="50">
        <f t="shared" si="77"/>
        <v>0</v>
      </c>
      <c r="CO137" s="50">
        <f t="shared" si="78"/>
        <v>0</v>
      </c>
      <c r="CP137" s="50">
        <f t="shared" si="79"/>
        <v>0</v>
      </c>
      <c r="CQ137" s="50">
        <f t="shared" si="80"/>
        <v>0</v>
      </c>
      <c r="CR137"/>
    </row>
    <row r="138" spans="2:96" s="427" customFormat="1" ht="15.75" customHeight="1" x14ac:dyDescent="0.15">
      <c r="B138" s="59"/>
      <c r="D138" s="130">
        <v>21</v>
      </c>
      <c r="AA138" s="28" t="s">
        <v>701</v>
      </c>
      <c r="AB138" s="31" t="s">
        <v>1011</v>
      </c>
      <c r="AC138" s="247" t="s">
        <v>1435</v>
      </c>
      <c r="AD138" s="314" t="s">
        <v>110</v>
      </c>
      <c r="AE138" s="315" t="s">
        <v>1783</v>
      </c>
      <c r="AF138" s="316" t="s">
        <v>1432</v>
      </c>
      <c r="AG138" s="248" t="s">
        <v>1784</v>
      </c>
      <c r="AH138" s="248" t="s">
        <v>1785</v>
      </c>
      <c r="AI138" s="248" t="s">
        <v>100</v>
      </c>
      <c r="AJ138" s="317">
        <v>7.1333333331858704</v>
      </c>
      <c r="AK138" s="315" t="s">
        <v>1786</v>
      </c>
      <c r="AL138" s="315">
        <v>0</v>
      </c>
      <c r="AM138" s="315">
        <v>0</v>
      </c>
      <c r="AN138" s="42">
        <f t="shared" si="41"/>
        <v>1</v>
      </c>
      <c r="AO138" s="318">
        <v>0</v>
      </c>
      <c r="AP138" s="318">
        <v>0</v>
      </c>
      <c r="AQ138" s="318">
        <v>1</v>
      </c>
      <c r="AR138" s="318">
        <v>0</v>
      </c>
      <c r="AS138" s="318">
        <v>0</v>
      </c>
      <c r="AT138" s="318">
        <v>1</v>
      </c>
      <c r="AU138" s="42">
        <f t="shared" si="42"/>
        <v>0</v>
      </c>
      <c r="AV138" s="318">
        <v>0</v>
      </c>
      <c r="AW138" s="318">
        <v>160</v>
      </c>
      <c r="AX138" s="315"/>
      <c r="AY138" s="636"/>
      <c r="AZ138" s="319"/>
      <c r="BA138" s="319"/>
      <c r="BB138" s="318">
        <v>1</v>
      </c>
      <c r="BC138" s="9"/>
      <c r="BD138" s="9"/>
      <c r="BE138" s="50">
        <f t="shared" si="43"/>
        <v>0</v>
      </c>
      <c r="BF138" s="50">
        <f t="shared" si="44"/>
        <v>0</v>
      </c>
      <c r="BG138" s="50">
        <f t="shared" si="45"/>
        <v>7.1333333331858704</v>
      </c>
      <c r="BH138" s="50">
        <f t="shared" si="46"/>
        <v>1</v>
      </c>
      <c r="BI138" s="50">
        <f t="shared" si="47"/>
        <v>0</v>
      </c>
      <c r="BJ138" s="50">
        <f t="shared" si="48"/>
        <v>0</v>
      </c>
      <c r="BK138" s="50">
        <f t="shared" si="49"/>
        <v>0</v>
      </c>
      <c r="BL138" s="50">
        <f t="shared" si="50"/>
        <v>0</v>
      </c>
      <c r="BM138" s="50">
        <f t="shared" si="51"/>
        <v>7.1333333331858704</v>
      </c>
      <c r="BN138" s="50">
        <f t="shared" si="52"/>
        <v>1</v>
      </c>
      <c r="BO138" s="50">
        <f t="shared" si="53"/>
        <v>0</v>
      </c>
      <c r="BP138" s="50">
        <f t="shared" si="54"/>
        <v>0</v>
      </c>
      <c r="BQ138" s="4" t="str">
        <f t="shared" si="55"/>
        <v>08,55 2025.07.02</v>
      </c>
      <c r="BR138" s="4" t="str">
        <f t="shared" si="56"/>
        <v>16,03 2025.07.02</v>
      </c>
      <c r="BS138" s="4" t="str">
        <f t="shared" si="57"/>
        <v>П</v>
      </c>
      <c r="BT138" s="10">
        <f t="shared" si="58"/>
        <v>7.1333333331858704</v>
      </c>
      <c r="BU138" s="42">
        <f t="shared" si="59"/>
        <v>1</v>
      </c>
      <c r="BV138" s="11">
        <f t="shared" si="60"/>
        <v>0</v>
      </c>
      <c r="BW138" s="11">
        <f t="shared" si="61"/>
        <v>0</v>
      </c>
      <c r="BX138" s="11">
        <f t="shared" si="62"/>
        <v>1</v>
      </c>
      <c r="BY138" s="11">
        <f t="shared" si="63"/>
        <v>0</v>
      </c>
      <c r="BZ138" s="11">
        <f t="shared" si="64"/>
        <v>0</v>
      </c>
      <c r="CA138" s="11">
        <f t="shared" si="65"/>
        <v>1</v>
      </c>
      <c r="CB138" s="42">
        <f t="shared" si="66"/>
        <v>0</v>
      </c>
      <c r="CC138" s="11">
        <f t="shared" si="67"/>
        <v>0</v>
      </c>
      <c r="CD138" s="11">
        <f t="shared" si="68"/>
        <v>1</v>
      </c>
      <c r="CE138" s="4"/>
      <c r="CF138" s="50">
        <f t="shared" si="69"/>
        <v>0</v>
      </c>
      <c r="CG138" s="50">
        <f t="shared" si="70"/>
        <v>0</v>
      </c>
      <c r="CH138" s="50">
        <f t="shared" si="71"/>
        <v>7.1333333331858704</v>
      </c>
      <c r="CI138" s="50">
        <f t="shared" si="72"/>
        <v>1</v>
      </c>
      <c r="CJ138" s="50">
        <f t="shared" si="73"/>
        <v>0</v>
      </c>
      <c r="CK138" s="50">
        <f t="shared" si="74"/>
        <v>0</v>
      </c>
      <c r="CL138" s="50">
        <f t="shared" si="75"/>
        <v>0</v>
      </c>
      <c r="CM138" s="50">
        <f t="shared" si="76"/>
        <v>0</v>
      </c>
      <c r="CN138" s="50">
        <f t="shared" si="77"/>
        <v>7.1333333331858704</v>
      </c>
      <c r="CO138" s="50">
        <f t="shared" si="78"/>
        <v>1</v>
      </c>
      <c r="CP138" s="50">
        <f t="shared" si="79"/>
        <v>0</v>
      </c>
      <c r="CQ138" s="50">
        <f t="shared" si="80"/>
        <v>0</v>
      </c>
      <c r="CR138"/>
    </row>
    <row r="139" spans="2:96" s="428" customFormat="1" ht="15.75" customHeight="1" x14ac:dyDescent="0.15">
      <c r="B139" s="59"/>
      <c r="D139" s="130">
        <v>21</v>
      </c>
      <c r="AA139" s="28" t="s">
        <v>701</v>
      </c>
      <c r="AB139" s="31" t="s">
        <v>1012</v>
      </c>
      <c r="AC139" s="247" t="s">
        <v>1445</v>
      </c>
      <c r="AD139" s="314" t="s">
        <v>110</v>
      </c>
      <c r="AE139" s="315" t="s">
        <v>1787</v>
      </c>
      <c r="AF139" s="316" t="s">
        <v>1432</v>
      </c>
      <c r="AG139" s="248" t="s">
        <v>1788</v>
      </c>
      <c r="AH139" s="248" t="s">
        <v>1789</v>
      </c>
      <c r="AI139" s="248" t="s">
        <v>100</v>
      </c>
      <c r="AJ139" s="317">
        <v>2.0333333333255701</v>
      </c>
      <c r="AK139" s="315" t="s">
        <v>1790</v>
      </c>
      <c r="AL139" s="315">
        <v>0</v>
      </c>
      <c r="AM139" s="315">
        <v>0</v>
      </c>
      <c r="AN139" s="42">
        <f t="shared" si="41"/>
        <v>1</v>
      </c>
      <c r="AO139" s="318">
        <v>0</v>
      </c>
      <c r="AP139" s="318">
        <v>0</v>
      </c>
      <c r="AQ139" s="318">
        <v>1</v>
      </c>
      <c r="AR139" s="318">
        <v>0</v>
      </c>
      <c r="AS139" s="318">
        <v>0</v>
      </c>
      <c r="AT139" s="318">
        <v>1</v>
      </c>
      <c r="AU139" s="42">
        <f t="shared" si="42"/>
        <v>0</v>
      </c>
      <c r="AV139" s="318">
        <v>0</v>
      </c>
      <c r="AW139" s="318">
        <v>580</v>
      </c>
      <c r="AX139" s="315"/>
      <c r="AY139" s="636"/>
      <c r="AZ139" s="319"/>
      <c r="BA139" s="319"/>
      <c r="BB139" s="318">
        <v>1</v>
      </c>
      <c r="BC139" s="9"/>
      <c r="BD139" s="9"/>
      <c r="BE139" s="50">
        <f t="shared" si="43"/>
        <v>0</v>
      </c>
      <c r="BF139" s="50">
        <f t="shared" si="44"/>
        <v>0</v>
      </c>
      <c r="BG139" s="50">
        <f t="shared" si="45"/>
        <v>2.0333333333255701</v>
      </c>
      <c r="BH139" s="50">
        <f t="shared" si="46"/>
        <v>1</v>
      </c>
      <c r="BI139" s="50">
        <f t="shared" si="47"/>
        <v>0</v>
      </c>
      <c r="BJ139" s="50">
        <f t="shared" si="48"/>
        <v>0</v>
      </c>
      <c r="BK139" s="50">
        <f t="shared" si="49"/>
        <v>0</v>
      </c>
      <c r="BL139" s="50">
        <f t="shared" si="50"/>
        <v>0</v>
      </c>
      <c r="BM139" s="50">
        <f t="shared" si="51"/>
        <v>2.0333333333255701</v>
      </c>
      <c r="BN139" s="50">
        <f t="shared" si="52"/>
        <v>1</v>
      </c>
      <c r="BO139" s="50">
        <f t="shared" si="53"/>
        <v>0</v>
      </c>
      <c r="BP139" s="50">
        <f t="shared" si="54"/>
        <v>0</v>
      </c>
      <c r="BQ139" s="4" t="str">
        <f t="shared" si="55"/>
        <v>16,08 2025.07.02</v>
      </c>
      <c r="BR139" s="4" t="str">
        <f t="shared" si="56"/>
        <v>18,10 2025.07.02</v>
      </c>
      <c r="BS139" s="4" t="str">
        <f t="shared" si="57"/>
        <v>П</v>
      </c>
      <c r="BT139" s="10">
        <f t="shared" si="58"/>
        <v>2.0333333333255701</v>
      </c>
      <c r="BU139" s="42">
        <f t="shared" si="59"/>
        <v>1</v>
      </c>
      <c r="BV139" s="11">
        <f t="shared" si="60"/>
        <v>0</v>
      </c>
      <c r="BW139" s="11">
        <f t="shared" si="61"/>
        <v>0</v>
      </c>
      <c r="BX139" s="11">
        <f t="shared" si="62"/>
        <v>1</v>
      </c>
      <c r="BY139" s="11">
        <f t="shared" si="63"/>
        <v>0</v>
      </c>
      <c r="BZ139" s="11">
        <f t="shared" si="64"/>
        <v>0</v>
      </c>
      <c r="CA139" s="11">
        <f t="shared" si="65"/>
        <v>1</v>
      </c>
      <c r="CB139" s="42">
        <f t="shared" si="66"/>
        <v>0</v>
      </c>
      <c r="CC139" s="11">
        <f t="shared" si="67"/>
        <v>0</v>
      </c>
      <c r="CD139" s="11">
        <f t="shared" si="68"/>
        <v>1</v>
      </c>
      <c r="CE139" s="4"/>
      <c r="CF139" s="50">
        <f t="shared" si="69"/>
        <v>0</v>
      </c>
      <c r="CG139" s="50">
        <f t="shared" si="70"/>
        <v>0</v>
      </c>
      <c r="CH139" s="50">
        <f t="shared" si="71"/>
        <v>2.0333333333255701</v>
      </c>
      <c r="CI139" s="50">
        <f t="shared" si="72"/>
        <v>1</v>
      </c>
      <c r="CJ139" s="50">
        <f t="shared" si="73"/>
        <v>0</v>
      </c>
      <c r="CK139" s="50">
        <f t="shared" si="74"/>
        <v>0</v>
      </c>
      <c r="CL139" s="50">
        <f t="shared" si="75"/>
        <v>0</v>
      </c>
      <c r="CM139" s="50">
        <f t="shared" si="76"/>
        <v>0</v>
      </c>
      <c r="CN139" s="50">
        <f t="shared" si="77"/>
        <v>2.0333333333255701</v>
      </c>
      <c r="CO139" s="50">
        <f t="shared" si="78"/>
        <v>1</v>
      </c>
      <c r="CP139" s="50">
        <f t="shared" si="79"/>
        <v>0</v>
      </c>
      <c r="CQ139" s="50">
        <f t="shared" si="80"/>
        <v>0</v>
      </c>
      <c r="CR139"/>
    </row>
    <row r="140" spans="2:96" s="429" customFormat="1" ht="15.75" customHeight="1" x14ac:dyDescent="0.15">
      <c r="B140" s="59"/>
      <c r="D140" s="130">
        <v>21</v>
      </c>
      <c r="AA140" s="28" t="s">
        <v>701</v>
      </c>
      <c r="AB140" s="31" t="s">
        <v>1013</v>
      </c>
      <c r="AC140" s="247" t="s">
        <v>1430</v>
      </c>
      <c r="AD140" s="314" t="s">
        <v>110</v>
      </c>
      <c r="AE140" s="315" t="s">
        <v>1530</v>
      </c>
      <c r="AF140" s="316" t="s">
        <v>1432</v>
      </c>
      <c r="AG140" s="248" t="s">
        <v>1791</v>
      </c>
      <c r="AH140" s="248" t="s">
        <v>1791</v>
      </c>
      <c r="AI140" s="248" t="s">
        <v>122</v>
      </c>
      <c r="AJ140" s="317">
        <v>0</v>
      </c>
      <c r="AK140" s="315" t="s">
        <v>1533</v>
      </c>
      <c r="AL140" s="315">
        <v>0</v>
      </c>
      <c r="AM140" s="315">
        <v>0</v>
      </c>
      <c r="AN140" s="42">
        <f t="shared" si="41"/>
        <v>1</v>
      </c>
      <c r="AO140" s="318">
        <v>0</v>
      </c>
      <c r="AP140" s="318">
        <v>0</v>
      </c>
      <c r="AQ140" s="318">
        <v>1</v>
      </c>
      <c r="AR140" s="318">
        <v>0</v>
      </c>
      <c r="AS140" s="318">
        <v>0</v>
      </c>
      <c r="AT140" s="318">
        <v>1</v>
      </c>
      <c r="AU140" s="42">
        <f t="shared" si="42"/>
        <v>0</v>
      </c>
      <c r="AV140" s="318">
        <v>0</v>
      </c>
      <c r="AW140" s="318">
        <v>1261</v>
      </c>
      <c r="AX140" s="315"/>
      <c r="AY140" s="636" t="s">
        <v>2081</v>
      </c>
      <c r="AZ140" s="319" t="s">
        <v>199</v>
      </c>
      <c r="BA140" s="319" t="s">
        <v>2041</v>
      </c>
      <c r="BB140" s="318">
        <v>0</v>
      </c>
      <c r="BC140" s="9"/>
      <c r="BD140" s="9"/>
      <c r="BE140" s="50">
        <f t="shared" si="43"/>
        <v>0</v>
      </c>
      <c r="BF140" s="50">
        <f t="shared" si="44"/>
        <v>0</v>
      </c>
      <c r="BG140" s="50">
        <f t="shared" si="45"/>
        <v>0</v>
      </c>
      <c r="BH140" s="50">
        <f t="shared" si="46"/>
        <v>0</v>
      </c>
      <c r="BI140" s="50">
        <f t="shared" si="47"/>
        <v>0</v>
      </c>
      <c r="BJ140" s="50">
        <f t="shared" si="48"/>
        <v>0</v>
      </c>
      <c r="BK140" s="50">
        <f t="shared" si="49"/>
        <v>0</v>
      </c>
      <c r="BL140" s="50">
        <f t="shared" si="50"/>
        <v>0</v>
      </c>
      <c r="BM140" s="50">
        <f t="shared" si="51"/>
        <v>0</v>
      </c>
      <c r="BN140" s="50">
        <f t="shared" si="52"/>
        <v>0</v>
      </c>
      <c r="BO140" s="50">
        <f t="shared" si="53"/>
        <v>0</v>
      </c>
      <c r="BP140" s="50">
        <f t="shared" si="54"/>
        <v>0</v>
      </c>
      <c r="BQ140" s="4" t="str">
        <f t="shared" si="55"/>
        <v>18,25 2025.07.02</v>
      </c>
      <c r="BR140" s="4" t="str">
        <f t="shared" si="56"/>
        <v>18,25 2025.07.02</v>
      </c>
      <c r="BS140" s="4" t="str">
        <f t="shared" si="57"/>
        <v>В</v>
      </c>
      <c r="BT140" s="10">
        <f t="shared" si="58"/>
        <v>0</v>
      </c>
      <c r="BU140" s="42">
        <f t="shared" si="59"/>
        <v>1</v>
      </c>
      <c r="BV140" s="11">
        <f t="shared" si="60"/>
        <v>0</v>
      </c>
      <c r="BW140" s="11">
        <f t="shared" si="61"/>
        <v>0</v>
      </c>
      <c r="BX140" s="11">
        <f t="shared" si="62"/>
        <v>1</v>
      </c>
      <c r="BY140" s="11">
        <f t="shared" si="63"/>
        <v>0</v>
      </c>
      <c r="BZ140" s="11">
        <f t="shared" si="64"/>
        <v>0</v>
      </c>
      <c r="CA140" s="11">
        <f t="shared" si="65"/>
        <v>1</v>
      </c>
      <c r="CB140" s="42">
        <f t="shared" si="66"/>
        <v>0</v>
      </c>
      <c r="CC140" s="11">
        <f t="shared" si="67"/>
        <v>0</v>
      </c>
      <c r="CD140" s="11">
        <f t="shared" si="68"/>
        <v>0</v>
      </c>
      <c r="CE140" s="4"/>
      <c r="CF140" s="50">
        <f t="shared" si="69"/>
        <v>0</v>
      </c>
      <c r="CG140" s="50">
        <f t="shared" si="70"/>
        <v>0</v>
      </c>
      <c r="CH140" s="50">
        <f t="shared" si="71"/>
        <v>0</v>
      </c>
      <c r="CI140" s="50">
        <f t="shared" si="72"/>
        <v>0</v>
      </c>
      <c r="CJ140" s="50">
        <f t="shared" si="73"/>
        <v>0</v>
      </c>
      <c r="CK140" s="50">
        <f t="shared" si="74"/>
        <v>0</v>
      </c>
      <c r="CL140" s="50">
        <f t="shared" si="75"/>
        <v>0</v>
      </c>
      <c r="CM140" s="50">
        <f t="shared" si="76"/>
        <v>0</v>
      </c>
      <c r="CN140" s="50">
        <f t="shared" si="77"/>
        <v>0</v>
      </c>
      <c r="CO140" s="50">
        <f t="shared" si="78"/>
        <v>0</v>
      </c>
      <c r="CP140" s="50">
        <f t="shared" si="79"/>
        <v>0</v>
      </c>
      <c r="CQ140" s="50">
        <f t="shared" si="80"/>
        <v>0</v>
      </c>
      <c r="CR140"/>
    </row>
    <row r="141" spans="2:96" s="430" customFormat="1" ht="15.75" customHeight="1" x14ac:dyDescent="0.15">
      <c r="B141" s="59"/>
      <c r="D141" s="130">
        <v>21</v>
      </c>
      <c r="AA141" s="28" t="s">
        <v>701</v>
      </c>
      <c r="AB141" s="31" t="s">
        <v>1014</v>
      </c>
      <c r="AC141" s="247" t="s">
        <v>1435</v>
      </c>
      <c r="AD141" s="314" t="s">
        <v>110</v>
      </c>
      <c r="AE141" s="315" t="s">
        <v>1720</v>
      </c>
      <c r="AF141" s="316" t="s">
        <v>1432</v>
      </c>
      <c r="AG141" s="248" t="s">
        <v>1792</v>
      </c>
      <c r="AH141" s="248" t="s">
        <v>1793</v>
      </c>
      <c r="AI141" s="248" t="s">
        <v>100</v>
      </c>
      <c r="AJ141" s="317">
        <v>2.2833333332673602</v>
      </c>
      <c r="AK141" s="315" t="s">
        <v>1723</v>
      </c>
      <c r="AL141" s="315">
        <v>0</v>
      </c>
      <c r="AM141" s="315">
        <v>0</v>
      </c>
      <c r="AN141" s="42">
        <f t="shared" si="41"/>
        <v>1</v>
      </c>
      <c r="AO141" s="318">
        <v>0</v>
      </c>
      <c r="AP141" s="318">
        <v>0</v>
      </c>
      <c r="AQ141" s="318">
        <v>1</v>
      </c>
      <c r="AR141" s="318">
        <v>0</v>
      </c>
      <c r="AS141" s="318">
        <v>0</v>
      </c>
      <c r="AT141" s="318">
        <v>1</v>
      </c>
      <c r="AU141" s="42">
        <f t="shared" si="42"/>
        <v>0</v>
      </c>
      <c r="AV141" s="318">
        <v>0</v>
      </c>
      <c r="AW141" s="318">
        <v>140</v>
      </c>
      <c r="AX141" s="315"/>
      <c r="AY141" s="636"/>
      <c r="AZ141" s="319"/>
      <c r="BA141" s="319"/>
      <c r="BB141" s="318">
        <v>1</v>
      </c>
      <c r="BC141" s="9"/>
      <c r="BD141" s="9"/>
      <c r="BE141" s="50">
        <f t="shared" si="43"/>
        <v>0</v>
      </c>
      <c r="BF141" s="50">
        <f t="shared" si="44"/>
        <v>0</v>
      </c>
      <c r="BG141" s="50">
        <f t="shared" si="45"/>
        <v>2.2833333332673602</v>
      </c>
      <c r="BH141" s="50">
        <f t="shared" si="46"/>
        <v>1</v>
      </c>
      <c r="BI141" s="50">
        <f t="shared" si="47"/>
        <v>0</v>
      </c>
      <c r="BJ141" s="50">
        <f t="shared" si="48"/>
        <v>0</v>
      </c>
      <c r="BK141" s="50">
        <f t="shared" si="49"/>
        <v>0</v>
      </c>
      <c r="BL141" s="50">
        <f t="shared" si="50"/>
        <v>0</v>
      </c>
      <c r="BM141" s="50">
        <f t="shared" si="51"/>
        <v>2.2833333332673602</v>
      </c>
      <c r="BN141" s="50">
        <f t="shared" si="52"/>
        <v>1</v>
      </c>
      <c r="BO141" s="50">
        <f t="shared" si="53"/>
        <v>0</v>
      </c>
      <c r="BP141" s="50">
        <f t="shared" si="54"/>
        <v>0</v>
      </c>
      <c r="BQ141" s="4" t="str">
        <f t="shared" si="55"/>
        <v>11,09 2025.07.03</v>
      </c>
      <c r="BR141" s="4" t="str">
        <f t="shared" si="56"/>
        <v>13,26 2025.07.03</v>
      </c>
      <c r="BS141" s="4" t="str">
        <f t="shared" si="57"/>
        <v>П</v>
      </c>
      <c r="BT141" s="10">
        <f t="shared" si="58"/>
        <v>2.2833333332673602</v>
      </c>
      <c r="BU141" s="42">
        <f t="shared" si="59"/>
        <v>1</v>
      </c>
      <c r="BV141" s="11">
        <f t="shared" si="60"/>
        <v>0</v>
      </c>
      <c r="BW141" s="11">
        <f t="shared" si="61"/>
        <v>0</v>
      </c>
      <c r="BX141" s="11">
        <f t="shared" si="62"/>
        <v>1</v>
      </c>
      <c r="BY141" s="11">
        <f t="shared" si="63"/>
        <v>0</v>
      </c>
      <c r="BZ141" s="11">
        <f t="shared" si="64"/>
        <v>0</v>
      </c>
      <c r="CA141" s="11">
        <f t="shared" si="65"/>
        <v>1</v>
      </c>
      <c r="CB141" s="42">
        <f t="shared" si="66"/>
        <v>0</v>
      </c>
      <c r="CC141" s="11">
        <f t="shared" si="67"/>
        <v>0</v>
      </c>
      <c r="CD141" s="11">
        <f t="shared" si="68"/>
        <v>1</v>
      </c>
      <c r="CE141" s="4"/>
      <c r="CF141" s="50">
        <f t="shared" si="69"/>
        <v>0</v>
      </c>
      <c r="CG141" s="50">
        <f t="shared" si="70"/>
        <v>0</v>
      </c>
      <c r="CH141" s="50">
        <f t="shared" si="71"/>
        <v>2.2833333332673602</v>
      </c>
      <c r="CI141" s="50">
        <f t="shared" si="72"/>
        <v>1</v>
      </c>
      <c r="CJ141" s="50">
        <f t="shared" si="73"/>
        <v>0</v>
      </c>
      <c r="CK141" s="50">
        <f t="shared" si="74"/>
        <v>0</v>
      </c>
      <c r="CL141" s="50">
        <f t="shared" si="75"/>
        <v>0</v>
      </c>
      <c r="CM141" s="50">
        <f t="shared" si="76"/>
        <v>0</v>
      </c>
      <c r="CN141" s="50">
        <f t="shared" si="77"/>
        <v>2.2833333332673602</v>
      </c>
      <c r="CO141" s="50">
        <f t="shared" si="78"/>
        <v>1</v>
      </c>
      <c r="CP141" s="50">
        <f t="shared" si="79"/>
        <v>0</v>
      </c>
      <c r="CQ141" s="50">
        <f t="shared" si="80"/>
        <v>0</v>
      </c>
      <c r="CR141"/>
    </row>
    <row r="142" spans="2:96" s="431" customFormat="1" ht="15.75" customHeight="1" x14ac:dyDescent="0.15">
      <c r="B142" s="59"/>
      <c r="D142" s="130">
        <v>21</v>
      </c>
      <c r="AA142" s="28" t="s">
        <v>701</v>
      </c>
      <c r="AB142" s="31" t="s">
        <v>1015</v>
      </c>
      <c r="AC142" s="247" t="s">
        <v>1435</v>
      </c>
      <c r="AD142" s="314" t="s">
        <v>110</v>
      </c>
      <c r="AE142" s="315" t="s">
        <v>1576</v>
      </c>
      <c r="AF142" s="316" t="s">
        <v>1432</v>
      </c>
      <c r="AG142" s="248" t="s">
        <v>1794</v>
      </c>
      <c r="AH142" s="248" t="s">
        <v>1795</v>
      </c>
      <c r="AI142" s="248" t="s">
        <v>122</v>
      </c>
      <c r="AJ142" s="317">
        <v>6.2499999999417897</v>
      </c>
      <c r="AK142" s="315" t="s">
        <v>1579</v>
      </c>
      <c r="AL142" s="315">
        <v>0</v>
      </c>
      <c r="AM142" s="315">
        <v>0</v>
      </c>
      <c r="AN142" s="42">
        <f t="shared" si="41"/>
        <v>3</v>
      </c>
      <c r="AO142" s="318">
        <v>0</v>
      </c>
      <c r="AP142" s="318">
        <v>0</v>
      </c>
      <c r="AQ142" s="318">
        <v>3</v>
      </c>
      <c r="AR142" s="318">
        <v>0</v>
      </c>
      <c r="AS142" s="318">
        <v>0</v>
      </c>
      <c r="AT142" s="318">
        <v>3</v>
      </c>
      <c r="AU142" s="42">
        <f t="shared" si="42"/>
        <v>0</v>
      </c>
      <c r="AV142" s="318">
        <v>0</v>
      </c>
      <c r="AW142" s="318">
        <v>218</v>
      </c>
      <c r="AX142" s="315"/>
      <c r="AY142" s="636" t="s">
        <v>2082</v>
      </c>
      <c r="AZ142" s="319" t="s">
        <v>199</v>
      </c>
      <c r="BA142" s="319" t="s">
        <v>2041</v>
      </c>
      <c r="BB142" s="318">
        <v>0</v>
      </c>
      <c r="BC142" s="9"/>
      <c r="BD142" s="9"/>
      <c r="BE142" s="50">
        <f t="shared" si="43"/>
        <v>0</v>
      </c>
      <c r="BF142" s="50">
        <f t="shared" si="44"/>
        <v>0</v>
      </c>
      <c r="BG142" s="50">
        <f t="shared" si="45"/>
        <v>0</v>
      </c>
      <c r="BH142" s="50">
        <f t="shared" si="46"/>
        <v>0</v>
      </c>
      <c r="BI142" s="50">
        <f t="shared" si="47"/>
        <v>0</v>
      </c>
      <c r="BJ142" s="50">
        <f t="shared" si="48"/>
        <v>0</v>
      </c>
      <c r="BK142" s="50">
        <f t="shared" si="49"/>
        <v>0</v>
      </c>
      <c r="BL142" s="50">
        <f t="shared" si="50"/>
        <v>0</v>
      </c>
      <c r="BM142" s="50">
        <f t="shared" si="51"/>
        <v>0</v>
      </c>
      <c r="BN142" s="50">
        <f t="shared" si="52"/>
        <v>0</v>
      </c>
      <c r="BO142" s="50">
        <f t="shared" si="53"/>
        <v>0</v>
      </c>
      <c r="BP142" s="50">
        <f t="shared" si="54"/>
        <v>0</v>
      </c>
      <c r="BQ142" s="4" t="str">
        <f t="shared" si="55"/>
        <v>14,32 2025.07.03</v>
      </c>
      <c r="BR142" s="4" t="str">
        <f t="shared" si="56"/>
        <v>20,47 2025.07.03</v>
      </c>
      <c r="BS142" s="4" t="str">
        <f t="shared" si="57"/>
        <v>В</v>
      </c>
      <c r="BT142" s="10">
        <f t="shared" si="58"/>
        <v>6.2499999999417897</v>
      </c>
      <c r="BU142" s="42">
        <f t="shared" si="59"/>
        <v>3</v>
      </c>
      <c r="BV142" s="11">
        <f t="shared" si="60"/>
        <v>0</v>
      </c>
      <c r="BW142" s="11">
        <f t="shared" si="61"/>
        <v>0</v>
      </c>
      <c r="BX142" s="11">
        <f t="shared" si="62"/>
        <v>3</v>
      </c>
      <c r="BY142" s="11">
        <f t="shared" si="63"/>
        <v>0</v>
      </c>
      <c r="BZ142" s="11">
        <f t="shared" si="64"/>
        <v>0</v>
      </c>
      <c r="CA142" s="11">
        <f t="shared" si="65"/>
        <v>3</v>
      </c>
      <c r="CB142" s="42">
        <f t="shared" si="66"/>
        <v>0</v>
      </c>
      <c r="CC142" s="11">
        <f t="shared" si="67"/>
        <v>0</v>
      </c>
      <c r="CD142" s="11">
        <f t="shared" si="68"/>
        <v>0</v>
      </c>
      <c r="CE142" s="4"/>
      <c r="CF142" s="50">
        <f t="shared" si="69"/>
        <v>0</v>
      </c>
      <c r="CG142" s="50">
        <f t="shared" si="70"/>
        <v>0</v>
      </c>
      <c r="CH142" s="50">
        <f t="shared" si="71"/>
        <v>0</v>
      </c>
      <c r="CI142" s="50">
        <f t="shared" si="72"/>
        <v>0</v>
      </c>
      <c r="CJ142" s="50">
        <f t="shared" si="73"/>
        <v>0</v>
      </c>
      <c r="CK142" s="50">
        <f t="shared" si="74"/>
        <v>0</v>
      </c>
      <c r="CL142" s="50">
        <f t="shared" si="75"/>
        <v>0</v>
      </c>
      <c r="CM142" s="50">
        <f t="shared" si="76"/>
        <v>0</v>
      </c>
      <c r="CN142" s="50">
        <f t="shared" si="77"/>
        <v>0</v>
      </c>
      <c r="CO142" s="50">
        <f t="shared" si="78"/>
        <v>0</v>
      </c>
      <c r="CP142" s="50">
        <f t="shared" si="79"/>
        <v>0</v>
      </c>
      <c r="CQ142" s="50">
        <f t="shared" si="80"/>
        <v>0</v>
      </c>
      <c r="CR142"/>
    </row>
    <row r="143" spans="2:96" s="432" customFormat="1" ht="15.75" customHeight="1" x14ac:dyDescent="0.15">
      <c r="B143" s="59"/>
      <c r="D143" s="130">
        <v>21</v>
      </c>
      <c r="AA143" s="28" t="s">
        <v>701</v>
      </c>
      <c r="AB143" s="31" t="s">
        <v>1016</v>
      </c>
      <c r="AC143" s="247" t="s">
        <v>1435</v>
      </c>
      <c r="AD143" s="314" t="s">
        <v>110</v>
      </c>
      <c r="AE143" s="315" t="s">
        <v>1777</v>
      </c>
      <c r="AF143" s="316" t="s">
        <v>1432</v>
      </c>
      <c r="AG143" s="248" t="s">
        <v>1796</v>
      </c>
      <c r="AH143" s="248" t="s">
        <v>1797</v>
      </c>
      <c r="AI143" s="248" t="s">
        <v>122</v>
      </c>
      <c r="AJ143" s="317">
        <v>0.61666666658129499</v>
      </c>
      <c r="AK143" s="315" t="s">
        <v>1780</v>
      </c>
      <c r="AL143" s="315">
        <v>0</v>
      </c>
      <c r="AM143" s="315">
        <v>0</v>
      </c>
      <c r="AN143" s="42">
        <f t="shared" si="41"/>
        <v>1</v>
      </c>
      <c r="AO143" s="318">
        <v>0</v>
      </c>
      <c r="AP143" s="318">
        <v>0</v>
      </c>
      <c r="AQ143" s="318">
        <v>1</v>
      </c>
      <c r="AR143" s="318">
        <v>0</v>
      </c>
      <c r="AS143" s="318">
        <v>0</v>
      </c>
      <c r="AT143" s="318">
        <v>1</v>
      </c>
      <c r="AU143" s="42">
        <f t="shared" si="42"/>
        <v>0</v>
      </c>
      <c r="AV143" s="318">
        <v>0</v>
      </c>
      <c r="AW143" s="318">
        <v>520</v>
      </c>
      <c r="AX143" s="315"/>
      <c r="AY143" s="636" t="s">
        <v>2083</v>
      </c>
      <c r="AZ143" s="319" t="s">
        <v>201</v>
      </c>
      <c r="BA143" s="319" t="s">
        <v>2041</v>
      </c>
      <c r="BB143" s="318">
        <v>0</v>
      </c>
      <c r="BC143" s="9"/>
      <c r="BD143" s="9"/>
      <c r="BE143" s="50">
        <f t="shared" si="43"/>
        <v>0</v>
      </c>
      <c r="BF143" s="50">
        <f t="shared" si="44"/>
        <v>0</v>
      </c>
      <c r="BG143" s="50">
        <f t="shared" si="45"/>
        <v>0</v>
      </c>
      <c r="BH143" s="50">
        <f t="shared" si="46"/>
        <v>0</v>
      </c>
      <c r="BI143" s="50">
        <f t="shared" si="47"/>
        <v>0</v>
      </c>
      <c r="BJ143" s="50">
        <f t="shared" si="48"/>
        <v>0</v>
      </c>
      <c r="BK143" s="50">
        <f t="shared" si="49"/>
        <v>0</v>
      </c>
      <c r="BL143" s="50">
        <f t="shared" si="50"/>
        <v>0</v>
      </c>
      <c r="BM143" s="50">
        <f t="shared" si="51"/>
        <v>0</v>
      </c>
      <c r="BN143" s="50">
        <f t="shared" si="52"/>
        <v>0</v>
      </c>
      <c r="BO143" s="50">
        <f t="shared" si="53"/>
        <v>0</v>
      </c>
      <c r="BP143" s="50">
        <f t="shared" si="54"/>
        <v>0</v>
      </c>
      <c r="BQ143" s="4" t="str">
        <f t="shared" si="55"/>
        <v>15,56 2025.07.03</v>
      </c>
      <c r="BR143" s="4" t="str">
        <f t="shared" si="56"/>
        <v>16,33 2025.07.03</v>
      </c>
      <c r="BS143" s="4" t="str">
        <f t="shared" si="57"/>
        <v>В</v>
      </c>
      <c r="BT143" s="10">
        <f t="shared" si="58"/>
        <v>0.61666666658129499</v>
      </c>
      <c r="BU143" s="42">
        <f t="shared" si="59"/>
        <v>1</v>
      </c>
      <c r="BV143" s="11">
        <f t="shared" si="60"/>
        <v>0</v>
      </c>
      <c r="BW143" s="11">
        <f t="shared" si="61"/>
        <v>0</v>
      </c>
      <c r="BX143" s="11">
        <f t="shared" si="62"/>
        <v>1</v>
      </c>
      <c r="BY143" s="11">
        <f t="shared" si="63"/>
        <v>0</v>
      </c>
      <c r="BZ143" s="11">
        <f t="shared" si="64"/>
        <v>0</v>
      </c>
      <c r="CA143" s="11">
        <f t="shared" si="65"/>
        <v>1</v>
      </c>
      <c r="CB143" s="42">
        <f t="shared" si="66"/>
        <v>0</v>
      </c>
      <c r="CC143" s="11">
        <f t="shared" si="67"/>
        <v>0</v>
      </c>
      <c r="CD143" s="11">
        <f t="shared" si="68"/>
        <v>0</v>
      </c>
      <c r="CE143" s="4"/>
      <c r="CF143" s="50">
        <f t="shared" si="69"/>
        <v>0</v>
      </c>
      <c r="CG143" s="50">
        <f t="shared" si="70"/>
        <v>0</v>
      </c>
      <c r="CH143" s="50">
        <f t="shared" si="71"/>
        <v>0</v>
      </c>
      <c r="CI143" s="50">
        <f t="shared" si="72"/>
        <v>0</v>
      </c>
      <c r="CJ143" s="50">
        <f t="shared" si="73"/>
        <v>0</v>
      </c>
      <c r="CK143" s="50">
        <f t="shared" si="74"/>
        <v>0</v>
      </c>
      <c r="CL143" s="50">
        <f t="shared" si="75"/>
        <v>0</v>
      </c>
      <c r="CM143" s="50">
        <f t="shared" si="76"/>
        <v>0</v>
      </c>
      <c r="CN143" s="50">
        <f t="shared" si="77"/>
        <v>0</v>
      </c>
      <c r="CO143" s="50">
        <f t="shared" si="78"/>
        <v>0</v>
      </c>
      <c r="CP143" s="50">
        <f t="shared" si="79"/>
        <v>0</v>
      </c>
      <c r="CQ143" s="50">
        <f t="shared" si="80"/>
        <v>0</v>
      </c>
      <c r="CR143"/>
    </row>
    <row r="144" spans="2:96" s="433" customFormat="1" ht="15.75" customHeight="1" x14ac:dyDescent="0.15">
      <c r="B144" s="59"/>
      <c r="D144" s="130">
        <v>21</v>
      </c>
      <c r="AA144" s="28" t="s">
        <v>701</v>
      </c>
      <c r="AB144" s="31" t="s">
        <v>1017</v>
      </c>
      <c r="AC144" s="247" t="s">
        <v>1627</v>
      </c>
      <c r="AD144" s="314" t="s">
        <v>110</v>
      </c>
      <c r="AE144" s="315" t="s">
        <v>1628</v>
      </c>
      <c r="AF144" s="316" t="s">
        <v>1432</v>
      </c>
      <c r="AG144" s="248" t="s">
        <v>1798</v>
      </c>
      <c r="AH144" s="248" t="s">
        <v>1799</v>
      </c>
      <c r="AI144" s="248" t="s">
        <v>100</v>
      </c>
      <c r="AJ144" s="317">
        <v>1.5</v>
      </c>
      <c r="AK144" s="315" t="s">
        <v>1631</v>
      </c>
      <c r="AL144" s="315">
        <v>0</v>
      </c>
      <c r="AM144" s="315">
        <v>0</v>
      </c>
      <c r="AN144" s="42">
        <f t="shared" si="41"/>
        <v>1</v>
      </c>
      <c r="AO144" s="318">
        <v>0</v>
      </c>
      <c r="AP144" s="318">
        <v>0</v>
      </c>
      <c r="AQ144" s="318">
        <v>1</v>
      </c>
      <c r="AR144" s="318">
        <v>0</v>
      </c>
      <c r="AS144" s="318">
        <v>0</v>
      </c>
      <c r="AT144" s="318">
        <v>1</v>
      </c>
      <c r="AU144" s="42">
        <f t="shared" si="42"/>
        <v>0</v>
      </c>
      <c r="AV144" s="318">
        <v>0</v>
      </c>
      <c r="AW144" s="318">
        <v>150</v>
      </c>
      <c r="AX144" s="315"/>
      <c r="AY144" s="636"/>
      <c r="AZ144" s="319"/>
      <c r="BA144" s="319"/>
      <c r="BB144" s="318">
        <v>1</v>
      </c>
      <c r="BC144" s="9"/>
      <c r="BD144" s="9"/>
      <c r="BE144" s="50">
        <f t="shared" si="43"/>
        <v>0</v>
      </c>
      <c r="BF144" s="50">
        <f t="shared" si="44"/>
        <v>0</v>
      </c>
      <c r="BG144" s="50">
        <f t="shared" si="45"/>
        <v>1.5</v>
      </c>
      <c r="BH144" s="50">
        <f t="shared" si="46"/>
        <v>1</v>
      </c>
      <c r="BI144" s="50">
        <f t="shared" si="47"/>
        <v>0</v>
      </c>
      <c r="BJ144" s="50">
        <f t="shared" si="48"/>
        <v>0</v>
      </c>
      <c r="BK144" s="50">
        <f t="shared" si="49"/>
        <v>0</v>
      </c>
      <c r="BL144" s="50">
        <f t="shared" si="50"/>
        <v>0</v>
      </c>
      <c r="BM144" s="50">
        <f t="shared" si="51"/>
        <v>1.5</v>
      </c>
      <c r="BN144" s="50">
        <f t="shared" si="52"/>
        <v>1</v>
      </c>
      <c r="BO144" s="50">
        <f t="shared" si="53"/>
        <v>0</v>
      </c>
      <c r="BP144" s="50">
        <f t="shared" si="54"/>
        <v>0</v>
      </c>
      <c r="BQ144" s="4" t="str">
        <f t="shared" si="55"/>
        <v>10,08 2025.07.04</v>
      </c>
      <c r="BR144" s="4" t="str">
        <f t="shared" si="56"/>
        <v>11,38 2025.07.04</v>
      </c>
      <c r="BS144" s="4" t="str">
        <f t="shared" si="57"/>
        <v>П</v>
      </c>
      <c r="BT144" s="10">
        <f t="shared" si="58"/>
        <v>1.5</v>
      </c>
      <c r="BU144" s="42">
        <f t="shared" si="59"/>
        <v>1</v>
      </c>
      <c r="BV144" s="11">
        <f t="shared" si="60"/>
        <v>0</v>
      </c>
      <c r="BW144" s="11">
        <f t="shared" si="61"/>
        <v>0</v>
      </c>
      <c r="BX144" s="11">
        <f t="shared" si="62"/>
        <v>1</v>
      </c>
      <c r="BY144" s="11">
        <f t="shared" si="63"/>
        <v>0</v>
      </c>
      <c r="BZ144" s="11">
        <f t="shared" si="64"/>
        <v>0</v>
      </c>
      <c r="CA144" s="11">
        <f t="shared" si="65"/>
        <v>1</v>
      </c>
      <c r="CB144" s="42">
        <f t="shared" si="66"/>
        <v>0</v>
      </c>
      <c r="CC144" s="11">
        <f t="shared" si="67"/>
        <v>0</v>
      </c>
      <c r="CD144" s="11">
        <f t="shared" si="68"/>
        <v>1</v>
      </c>
      <c r="CE144" s="4"/>
      <c r="CF144" s="50">
        <f t="shared" si="69"/>
        <v>0</v>
      </c>
      <c r="CG144" s="50">
        <f t="shared" si="70"/>
        <v>0</v>
      </c>
      <c r="CH144" s="50">
        <f t="shared" si="71"/>
        <v>1.5</v>
      </c>
      <c r="CI144" s="50">
        <f t="shared" si="72"/>
        <v>1</v>
      </c>
      <c r="CJ144" s="50">
        <f t="shared" si="73"/>
        <v>0</v>
      </c>
      <c r="CK144" s="50">
        <f t="shared" si="74"/>
        <v>0</v>
      </c>
      <c r="CL144" s="50">
        <f t="shared" si="75"/>
        <v>0</v>
      </c>
      <c r="CM144" s="50">
        <f t="shared" si="76"/>
        <v>0</v>
      </c>
      <c r="CN144" s="50">
        <f t="shared" si="77"/>
        <v>1.5</v>
      </c>
      <c r="CO144" s="50">
        <f t="shared" si="78"/>
        <v>1</v>
      </c>
      <c r="CP144" s="50">
        <f t="shared" si="79"/>
        <v>0</v>
      </c>
      <c r="CQ144" s="50">
        <f t="shared" si="80"/>
        <v>0</v>
      </c>
      <c r="CR144"/>
    </row>
    <row r="145" spans="2:96" s="434" customFormat="1" ht="15.75" customHeight="1" x14ac:dyDescent="0.15">
      <c r="B145" s="59"/>
      <c r="D145" s="130">
        <v>21</v>
      </c>
      <c r="AA145" s="28" t="s">
        <v>701</v>
      </c>
      <c r="AB145" s="31" t="s">
        <v>1018</v>
      </c>
      <c r="AC145" s="247" t="s">
        <v>1435</v>
      </c>
      <c r="AD145" s="314" t="s">
        <v>110</v>
      </c>
      <c r="AE145" s="315" t="s">
        <v>1720</v>
      </c>
      <c r="AF145" s="316" t="s">
        <v>1432</v>
      </c>
      <c r="AG145" s="248" t="s">
        <v>1800</v>
      </c>
      <c r="AH145" s="248" t="s">
        <v>1801</v>
      </c>
      <c r="AI145" s="248" t="s">
        <v>100</v>
      </c>
      <c r="AJ145" s="317">
        <v>2.4499999999534299</v>
      </c>
      <c r="AK145" s="315" t="s">
        <v>1723</v>
      </c>
      <c r="AL145" s="315">
        <v>0</v>
      </c>
      <c r="AM145" s="315">
        <v>0</v>
      </c>
      <c r="AN145" s="42">
        <f t="shared" si="41"/>
        <v>1</v>
      </c>
      <c r="AO145" s="318">
        <v>0</v>
      </c>
      <c r="AP145" s="318">
        <v>0</v>
      </c>
      <c r="AQ145" s="318">
        <v>1</v>
      </c>
      <c r="AR145" s="318">
        <v>0</v>
      </c>
      <c r="AS145" s="318">
        <v>0</v>
      </c>
      <c r="AT145" s="318">
        <v>1</v>
      </c>
      <c r="AU145" s="42">
        <f t="shared" si="42"/>
        <v>0</v>
      </c>
      <c r="AV145" s="318">
        <v>0</v>
      </c>
      <c r="AW145" s="318">
        <v>140</v>
      </c>
      <c r="AX145" s="315"/>
      <c r="AY145" s="636"/>
      <c r="AZ145" s="319"/>
      <c r="BA145" s="319"/>
      <c r="BB145" s="318">
        <v>1</v>
      </c>
      <c r="BC145" s="9"/>
      <c r="BD145" s="9"/>
      <c r="BE145" s="50">
        <f t="shared" si="43"/>
        <v>0</v>
      </c>
      <c r="BF145" s="50">
        <f t="shared" si="44"/>
        <v>0</v>
      </c>
      <c r="BG145" s="50">
        <f t="shared" si="45"/>
        <v>2.4499999999534299</v>
      </c>
      <c r="BH145" s="50">
        <f t="shared" si="46"/>
        <v>1</v>
      </c>
      <c r="BI145" s="50">
        <f t="shared" si="47"/>
        <v>0</v>
      </c>
      <c r="BJ145" s="50">
        <f t="shared" si="48"/>
        <v>0</v>
      </c>
      <c r="BK145" s="50">
        <f t="shared" si="49"/>
        <v>0</v>
      </c>
      <c r="BL145" s="50">
        <f t="shared" si="50"/>
        <v>0</v>
      </c>
      <c r="BM145" s="50">
        <f t="shared" si="51"/>
        <v>2.4499999999534299</v>
      </c>
      <c r="BN145" s="50">
        <f t="shared" si="52"/>
        <v>1</v>
      </c>
      <c r="BO145" s="50">
        <f t="shared" si="53"/>
        <v>0</v>
      </c>
      <c r="BP145" s="50">
        <f t="shared" si="54"/>
        <v>0</v>
      </c>
      <c r="BQ145" s="4" t="str">
        <f t="shared" si="55"/>
        <v>10,38 2025.07.06</v>
      </c>
      <c r="BR145" s="4" t="str">
        <f t="shared" si="56"/>
        <v>13,05 2025.07.06</v>
      </c>
      <c r="BS145" s="4" t="str">
        <f t="shared" si="57"/>
        <v>П</v>
      </c>
      <c r="BT145" s="10">
        <f t="shared" si="58"/>
        <v>2.4499999999534299</v>
      </c>
      <c r="BU145" s="42">
        <f t="shared" si="59"/>
        <v>1</v>
      </c>
      <c r="BV145" s="11">
        <f t="shared" si="60"/>
        <v>0</v>
      </c>
      <c r="BW145" s="11">
        <f t="shared" si="61"/>
        <v>0</v>
      </c>
      <c r="BX145" s="11">
        <f t="shared" si="62"/>
        <v>1</v>
      </c>
      <c r="BY145" s="11">
        <f t="shared" si="63"/>
        <v>0</v>
      </c>
      <c r="BZ145" s="11">
        <f t="shared" si="64"/>
        <v>0</v>
      </c>
      <c r="CA145" s="11">
        <f t="shared" si="65"/>
        <v>1</v>
      </c>
      <c r="CB145" s="42">
        <f t="shared" si="66"/>
        <v>0</v>
      </c>
      <c r="CC145" s="11">
        <f t="shared" si="67"/>
        <v>0</v>
      </c>
      <c r="CD145" s="11">
        <f t="shared" si="68"/>
        <v>1</v>
      </c>
      <c r="CE145" s="4"/>
      <c r="CF145" s="50">
        <f t="shared" si="69"/>
        <v>0</v>
      </c>
      <c r="CG145" s="50">
        <f t="shared" si="70"/>
        <v>0</v>
      </c>
      <c r="CH145" s="50">
        <f t="shared" si="71"/>
        <v>2.4499999999534299</v>
      </c>
      <c r="CI145" s="50">
        <f t="shared" si="72"/>
        <v>1</v>
      </c>
      <c r="CJ145" s="50">
        <f t="shared" si="73"/>
        <v>0</v>
      </c>
      <c r="CK145" s="50">
        <f t="shared" si="74"/>
        <v>0</v>
      </c>
      <c r="CL145" s="50">
        <f t="shared" si="75"/>
        <v>0</v>
      </c>
      <c r="CM145" s="50">
        <f t="shared" si="76"/>
        <v>0</v>
      </c>
      <c r="CN145" s="50">
        <f t="shared" si="77"/>
        <v>2.4499999999534299</v>
      </c>
      <c r="CO145" s="50">
        <f t="shared" si="78"/>
        <v>1</v>
      </c>
      <c r="CP145" s="50">
        <f t="shared" si="79"/>
        <v>0</v>
      </c>
      <c r="CQ145" s="50">
        <f t="shared" si="80"/>
        <v>0</v>
      </c>
      <c r="CR145"/>
    </row>
    <row r="146" spans="2:96" s="435" customFormat="1" ht="15.75" customHeight="1" x14ac:dyDescent="0.15">
      <c r="B146" s="59"/>
      <c r="D146" s="130">
        <v>21</v>
      </c>
      <c r="AA146" s="28" t="s">
        <v>701</v>
      </c>
      <c r="AB146" s="31" t="s">
        <v>1019</v>
      </c>
      <c r="AC146" s="247" t="s">
        <v>1445</v>
      </c>
      <c r="AD146" s="314" t="s">
        <v>110</v>
      </c>
      <c r="AE146" s="315" t="s">
        <v>1802</v>
      </c>
      <c r="AF146" s="316" t="s">
        <v>1432</v>
      </c>
      <c r="AG146" s="248" t="s">
        <v>1803</v>
      </c>
      <c r="AH146" s="248" t="s">
        <v>1804</v>
      </c>
      <c r="AI146" s="248" t="s">
        <v>100</v>
      </c>
      <c r="AJ146" s="317">
        <v>10.9833333333372</v>
      </c>
      <c r="AK146" s="315" t="s">
        <v>1805</v>
      </c>
      <c r="AL146" s="315">
        <v>0</v>
      </c>
      <c r="AM146" s="315">
        <v>0</v>
      </c>
      <c r="AN146" s="42">
        <f t="shared" si="41"/>
        <v>2</v>
      </c>
      <c r="AO146" s="318">
        <v>0</v>
      </c>
      <c r="AP146" s="318">
        <v>0</v>
      </c>
      <c r="AQ146" s="318">
        <v>2</v>
      </c>
      <c r="AR146" s="318">
        <v>0</v>
      </c>
      <c r="AS146" s="318">
        <v>0</v>
      </c>
      <c r="AT146" s="318">
        <v>2</v>
      </c>
      <c r="AU146" s="42">
        <f t="shared" si="42"/>
        <v>0</v>
      </c>
      <c r="AV146" s="318">
        <v>0</v>
      </c>
      <c r="AW146" s="318">
        <v>110</v>
      </c>
      <c r="AX146" s="315"/>
      <c r="AY146" s="636"/>
      <c r="AZ146" s="319"/>
      <c r="BA146" s="319"/>
      <c r="BB146" s="318">
        <v>1</v>
      </c>
      <c r="BC146" s="9"/>
      <c r="BD146" s="9"/>
      <c r="BE146" s="50">
        <f t="shared" si="43"/>
        <v>0</v>
      </c>
      <c r="BF146" s="50">
        <f t="shared" si="44"/>
        <v>0</v>
      </c>
      <c r="BG146" s="50">
        <f t="shared" si="45"/>
        <v>21.966666666674399</v>
      </c>
      <c r="BH146" s="50">
        <f t="shared" si="46"/>
        <v>2</v>
      </c>
      <c r="BI146" s="50">
        <f t="shared" si="47"/>
        <v>0</v>
      </c>
      <c r="BJ146" s="50">
        <f t="shared" si="48"/>
        <v>0</v>
      </c>
      <c r="BK146" s="50">
        <f t="shared" si="49"/>
        <v>0</v>
      </c>
      <c r="BL146" s="50">
        <f t="shared" si="50"/>
        <v>0</v>
      </c>
      <c r="BM146" s="50">
        <f t="shared" si="51"/>
        <v>21.966666666674399</v>
      </c>
      <c r="BN146" s="50">
        <f t="shared" si="52"/>
        <v>2</v>
      </c>
      <c r="BO146" s="50">
        <f t="shared" si="53"/>
        <v>0</v>
      </c>
      <c r="BP146" s="50">
        <f t="shared" si="54"/>
        <v>0</v>
      </c>
      <c r="BQ146" s="4" t="str">
        <f t="shared" si="55"/>
        <v>10,20 2025.07.08</v>
      </c>
      <c r="BR146" s="4" t="str">
        <f t="shared" si="56"/>
        <v>21,19 2025.07.08</v>
      </c>
      <c r="BS146" s="4" t="str">
        <f t="shared" si="57"/>
        <v>П</v>
      </c>
      <c r="BT146" s="10">
        <f t="shared" si="58"/>
        <v>10.9833333333372</v>
      </c>
      <c r="BU146" s="42">
        <f t="shared" si="59"/>
        <v>2</v>
      </c>
      <c r="BV146" s="11">
        <f t="shared" si="60"/>
        <v>0</v>
      </c>
      <c r="BW146" s="11">
        <f t="shared" si="61"/>
        <v>0</v>
      </c>
      <c r="BX146" s="11">
        <f t="shared" si="62"/>
        <v>2</v>
      </c>
      <c r="BY146" s="11">
        <f t="shared" si="63"/>
        <v>0</v>
      </c>
      <c r="BZ146" s="11">
        <f t="shared" si="64"/>
        <v>0</v>
      </c>
      <c r="CA146" s="11">
        <f t="shared" si="65"/>
        <v>2</v>
      </c>
      <c r="CB146" s="42">
        <f t="shared" si="66"/>
        <v>0</v>
      </c>
      <c r="CC146" s="11">
        <f t="shared" si="67"/>
        <v>0</v>
      </c>
      <c r="CD146" s="11">
        <f t="shared" si="68"/>
        <v>1</v>
      </c>
      <c r="CE146" s="4"/>
      <c r="CF146" s="50">
        <f t="shared" si="69"/>
        <v>0</v>
      </c>
      <c r="CG146" s="50">
        <f t="shared" si="70"/>
        <v>0</v>
      </c>
      <c r="CH146" s="50">
        <f t="shared" si="71"/>
        <v>21.966666666674399</v>
      </c>
      <c r="CI146" s="50">
        <f t="shared" si="72"/>
        <v>2</v>
      </c>
      <c r="CJ146" s="50">
        <f t="shared" si="73"/>
        <v>0</v>
      </c>
      <c r="CK146" s="50">
        <f t="shared" si="74"/>
        <v>0</v>
      </c>
      <c r="CL146" s="50">
        <f t="shared" si="75"/>
        <v>0</v>
      </c>
      <c r="CM146" s="50">
        <f t="shared" si="76"/>
        <v>0</v>
      </c>
      <c r="CN146" s="50">
        <f t="shared" si="77"/>
        <v>21.966666666674399</v>
      </c>
      <c r="CO146" s="50">
        <f t="shared" si="78"/>
        <v>2</v>
      </c>
      <c r="CP146" s="50">
        <f t="shared" si="79"/>
        <v>0</v>
      </c>
      <c r="CQ146" s="50">
        <f t="shared" si="80"/>
        <v>0</v>
      </c>
      <c r="CR146"/>
    </row>
    <row r="147" spans="2:96" s="436" customFormat="1" ht="15.75" customHeight="1" x14ac:dyDescent="0.15">
      <c r="B147" s="59"/>
      <c r="D147" s="130">
        <v>21</v>
      </c>
      <c r="AA147" s="28" t="s">
        <v>701</v>
      </c>
      <c r="AB147" s="31" t="s">
        <v>1020</v>
      </c>
      <c r="AC147" s="247" t="s">
        <v>1445</v>
      </c>
      <c r="AD147" s="314" t="s">
        <v>110</v>
      </c>
      <c r="AE147" s="315" t="s">
        <v>1757</v>
      </c>
      <c r="AF147" s="316" t="s">
        <v>1432</v>
      </c>
      <c r="AG147" s="248" t="s">
        <v>1803</v>
      </c>
      <c r="AH147" s="248" t="s">
        <v>1806</v>
      </c>
      <c r="AI147" s="248" t="s">
        <v>100</v>
      </c>
      <c r="AJ147" s="317">
        <v>7.7499999999417897</v>
      </c>
      <c r="AK147" s="315" t="s">
        <v>1760</v>
      </c>
      <c r="AL147" s="315">
        <v>0</v>
      </c>
      <c r="AM147" s="315">
        <v>0</v>
      </c>
      <c r="AN147" s="42">
        <f t="shared" si="41"/>
        <v>1</v>
      </c>
      <c r="AO147" s="318">
        <v>0</v>
      </c>
      <c r="AP147" s="318">
        <v>0</v>
      </c>
      <c r="AQ147" s="318">
        <v>1</v>
      </c>
      <c r="AR147" s="318">
        <v>0</v>
      </c>
      <c r="AS147" s="318">
        <v>0</v>
      </c>
      <c r="AT147" s="318">
        <v>1</v>
      </c>
      <c r="AU147" s="42">
        <f t="shared" si="42"/>
        <v>0</v>
      </c>
      <c r="AV147" s="318">
        <v>0</v>
      </c>
      <c r="AW147" s="318">
        <v>350</v>
      </c>
      <c r="AX147" s="315"/>
      <c r="AY147" s="636"/>
      <c r="AZ147" s="319"/>
      <c r="BA147" s="319"/>
      <c r="BB147" s="318">
        <v>1</v>
      </c>
      <c r="BC147" s="9"/>
      <c r="BD147" s="9"/>
      <c r="BE147" s="50">
        <f t="shared" si="43"/>
        <v>0</v>
      </c>
      <c r="BF147" s="50">
        <f t="shared" si="44"/>
        <v>0</v>
      </c>
      <c r="BG147" s="50">
        <f t="shared" si="45"/>
        <v>7.7499999999417897</v>
      </c>
      <c r="BH147" s="50">
        <f t="shared" si="46"/>
        <v>1</v>
      </c>
      <c r="BI147" s="50">
        <f t="shared" si="47"/>
        <v>0</v>
      </c>
      <c r="BJ147" s="50">
        <f t="shared" si="48"/>
        <v>0</v>
      </c>
      <c r="BK147" s="50">
        <f t="shared" si="49"/>
        <v>0</v>
      </c>
      <c r="BL147" s="50">
        <f t="shared" si="50"/>
        <v>0</v>
      </c>
      <c r="BM147" s="50">
        <f t="shared" si="51"/>
        <v>7.7499999999417897</v>
      </c>
      <c r="BN147" s="50">
        <f t="shared" si="52"/>
        <v>1</v>
      </c>
      <c r="BO147" s="50">
        <f t="shared" si="53"/>
        <v>0</v>
      </c>
      <c r="BP147" s="50">
        <f t="shared" si="54"/>
        <v>0</v>
      </c>
      <c r="BQ147" s="4" t="str">
        <f t="shared" si="55"/>
        <v>10,20 2025.07.08</v>
      </c>
      <c r="BR147" s="4" t="str">
        <f t="shared" si="56"/>
        <v>18,05 2025.07.08</v>
      </c>
      <c r="BS147" s="4" t="str">
        <f t="shared" si="57"/>
        <v>П</v>
      </c>
      <c r="BT147" s="10">
        <f t="shared" si="58"/>
        <v>7.7499999999417897</v>
      </c>
      <c r="BU147" s="42">
        <f t="shared" si="59"/>
        <v>1</v>
      </c>
      <c r="BV147" s="11">
        <f t="shared" si="60"/>
        <v>0</v>
      </c>
      <c r="BW147" s="11">
        <f t="shared" si="61"/>
        <v>0</v>
      </c>
      <c r="BX147" s="11">
        <f t="shared" si="62"/>
        <v>1</v>
      </c>
      <c r="BY147" s="11">
        <f t="shared" si="63"/>
        <v>0</v>
      </c>
      <c r="BZ147" s="11">
        <f t="shared" si="64"/>
        <v>0</v>
      </c>
      <c r="CA147" s="11">
        <f t="shared" si="65"/>
        <v>1</v>
      </c>
      <c r="CB147" s="42">
        <f t="shared" si="66"/>
        <v>0</v>
      </c>
      <c r="CC147" s="11">
        <f t="shared" si="67"/>
        <v>0</v>
      </c>
      <c r="CD147" s="11">
        <f t="shared" si="68"/>
        <v>1</v>
      </c>
      <c r="CE147" s="4"/>
      <c r="CF147" s="50">
        <f t="shared" si="69"/>
        <v>0</v>
      </c>
      <c r="CG147" s="50">
        <f t="shared" si="70"/>
        <v>0</v>
      </c>
      <c r="CH147" s="50">
        <f t="shared" si="71"/>
        <v>7.7499999999417897</v>
      </c>
      <c r="CI147" s="50">
        <f t="shared" si="72"/>
        <v>1</v>
      </c>
      <c r="CJ147" s="50">
        <f t="shared" si="73"/>
        <v>0</v>
      </c>
      <c r="CK147" s="50">
        <f t="shared" si="74"/>
        <v>0</v>
      </c>
      <c r="CL147" s="50">
        <f t="shared" si="75"/>
        <v>0</v>
      </c>
      <c r="CM147" s="50">
        <f t="shared" si="76"/>
        <v>0</v>
      </c>
      <c r="CN147" s="50">
        <f t="shared" si="77"/>
        <v>7.7499999999417897</v>
      </c>
      <c r="CO147" s="50">
        <f t="shared" si="78"/>
        <v>1</v>
      </c>
      <c r="CP147" s="50">
        <f t="shared" si="79"/>
        <v>0</v>
      </c>
      <c r="CQ147" s="50">
        <f t="shared" si="80"/>
        <v>0</v>
      </c>
      <c r="CR147"/>
    </row>
    <row r="148" spans="2:96" s="437" customFormat="1" ht="15.75" customHeight="1" x14ac:dyDescent="0.15">
      <c r="B148" s="59"/>
      <c r="D148" s="130">
        <v>21</v>
      </c>
      <c r="AA148" s="28" t="s">
        <v>701</v>
      </c>
      <c r="AB148" s="31" t="s">
        <v>1021</v>
      </c>
      <c r="AC148" s="247" t="s">
        <v>1440</v>
      </c>
      <c r="AD148" s="314" t="s">
        <v>110</v>
      </c>
      <c r="AE148" s="315" t="s">
        <v>1807</v>
      </c>
      <c r="AF148" s="316" t="s">
        <v>1432</v>
      </c>
      <c r="AG148" s="248" t="s">
        <v>1808</v>
      </c>
      <c r="AH148" s="248" t="s">
        <v>1809</v>
      </c>
      <c r="AI148" s="248" t="s">
        <v>100</v>
      </c>
      <c r="AJ148" s="317">
        <v>2.7000000000698501</v>
      </c>
      <c r="AK148" s="315" t="s">
        <v>1810</v>
      </c>
      <c r="AL148" s="315">
        <v>0</v>
      </c>
      <c r="AM148" s="315">
        <v>0</v>
      </c>
      <c r="AN148" s="42">
        <f t="shared" si="41"/>
        <v>3</v>
      </c>
      <c r="AO148" s="318">
        <v>0</v>
      </c>
      <c r="AP148" s="318">
        <v>0</v>
      </c>
      <c r="AQ148" s="318">
        <v>3</v>
      </c>
      <c r="AR148" s="318">
        <v>0</v>
      </c>
      <c r="AS148" s="318">
        <v>0</v>
      </c>
      <c r="AT148" s="318">
        <v>3</v>
      </c>
      <c r="AU148" s="42">
        <f t="shared" si="42"/>
        <v>0</v>
      </c>
      <c r="AV148" s="318">
        <v>0</v>
      </c>
      <c r="AW148" s="318">
        <v>710</v>
      </c>
      <c r="AX148" s="315"/>
      <c r="AY148" s="636"/>
      <c r="AZ148" s="319"/>
      <c r="BA148" s="319"/>
      <c r="BB148" s="318">
        <v>1</v>
      </c>
      <c r="BC148" s="9"/>
      <c r="BD148" s="9"/>
      <c r="BE148" s="50">
        <f t="shared" si="43"/>
        <v>0</v>
      </c>
      <c r="BF148" s="50">
        <f t="shared" si="44"/>
        <v>0</v>
      </c>
      <c r="BG148" s="50">
        <f t="shared" si="45"/>
        <v>8.1000000002095511</v>
      </c>
      <c r="BH148" s="50">
        <f t="shared" si="46"/>
        <v>3</v>
      </c>
      <c r="BI148" s="50">
        <f t="shared" si="47"/>
        <v>0</v>
      </c>
      <c r="BJ148" s="50">
        <f t="shared" si="48"/>
        <v>0</v>
      </c>
      <c r="BK148" s="50">
        <f t="shared" si="49"/>
        <v>0</v>
      </c>
      <c r="BL148" s="50">
        <f t="shared" si="50"/>
        <v>0</v>
      </c>
      <c r="BM148" s="50">
        <f t="shared" si="51"/>
        <v>8.1000000002095511</v>
      </c>
      <c r="BN148" s="50">
        <f t="shared" si="52"/>
        <v>3</v>
      </c>
      <c r="BO148" s="50">
        <f t="shared" si="53"/>
        <v>0</v>
      </c>
      <c r="BP148" s="50">
        <f t="shared" si="54"/>
        <v>0</v>
      </c>
      <c r="BQ148" s="4" t="str">
        <f t="shared" si="55"/>
        <v>11,33 2025.07.08</v>
      </c>
      <c r="BR148" s="4" t="str">
        <f t="shared" si="56"/>
        <v>14,15 2025.07.08</v>
      </c>
      <c r="BS148" s="4" t="str">
        <f t="shared" si="57"/>
        <v>П</v>
      </c>
      <c r="BT148" s="10">
        <f t="shared" si="58"/>
        <v>2.7000000000698501</v>
      </c>
      <c r="BU148" s="42">
        <f t="shared" si="59"/>
        <v>3</v>
      </c>
      <c r="BV148" s="11">
        <f t="shared" si="60"/>
        <v>0</v>
      </c>
      <c r="BW148" s="11">
        <f t="shared" si="61"/>
        <v>0</v>
      </c>
      <c r="BX148" s="11">
        <f t="shared" si="62"/>
        <v>3</v>
      </c>
      <c r="BY148" s="11">
        <f t="shared" si="63"/>
        <v>0</v>
      </c>
      <c r="BZ148" s="11">
        <f t="shared" si="64"/>
        <v>0</v>
      </c>
      <c r="CA148" s="11">
        <f t="shared" si="65"/>
        <v>3</v>
      </c>
      <c r="CB148" s="42">
        <f t="shared" si="66"/>
        <v>0</v>
      </c>
      <c r="CC148" s="11">
        <f t="shared" si="67"/>
        <v>0</v>
      </c>
      <c r="CD148" s="11">
        <f t="shared" si="68"/>
        <v>1</v>
      </c>
      <c r="CE148" s="4"/>
      <c r="CF148" s="50">
        <f t="shared" si="69"/>
        <v>0</v>
      </c>
      <c r="CG148" s="50">
        <f t="shared" si="70"/>
        <v>0</v>
      </c>
      <c r="CH148" s="50">
        <f t="shared" si="71"/>
        <v>8.1000000002095511</v>
      </c>
      <c r="CI148" s="50">
        <f t="shared" si="72"/>
        <v>3</v>
      </c>
      <c r="CJ148" s="50">
        <f t="shared" si="73"/>
        <v>0</v>
      </c>
      <c r="CK148" s="50">
        <f t="shared" si="74"/>
        <v>0</v>
      </c>
      <c r="CL148" s="50">
        <f t="shared" si="75"/>
        <v>0</v>
      </c>
      <c r="CM148" s="50">
        <f t="shared" si="76"/>
        <v>0</v>
      </c>
      <c r="CN148" s="50">
        <f t="shared" si="77"/>
        <v>8.1000000002095511</v>
      </c>
      <c r="CO148" s="50">
        <f t="shared" si="78"/>
        <v>3</v>
      </c>
      <c r="CP148" s="50">
        <f t="shared" si="79"/>
        <v>0</v>
      </c>
      <c r="CQ148" s="50">
        <f t="shared" si="80"/>
        <v>0</v>
      </c>
      <c r="CR148"/>
    </row>
    <row r="149" spans="2:96" s="438" customFormat="1" ht="15.75" customHeight="1" x14ac:dyDescent="0.15">
      <c r="B149" s="59"/>
      <c r="D149" s="130">
        <v>21</v>
      </c>
      <c r="AA149" s="28" t="s">
        <v>701</v>
      </c>
      <c r="AB149" s="31" t="s">
        <v>1022</v>
      </c>
      <c r="AC149" s="247" t="s">
        <v>1430</v>
      </c>
      <c r="AD149" s="314" t="s">
        <v>110</v>
      </c>
      <c r="AE149" s="315" t="s">
        <v>1811</v>
      </c>
      <c r="AF149" s="316" t="s">
        <v>1432</v>
      </c>
      <c r="AG149" s="248" t="s">
        <v>1812</v>
      </c>
      <c r="AH149" s="248" t="s">
        <v>1813</v>
      </c>
      <c r="AI149" s="248" t="s">
        <v>100</v>
      </c>
      <c r="AJ149" s="317">
        <v>3.0499999999883598</v>
      </c>
      <c r="AK149" s="315" t="s">
        <v>1814</v>
      </c>
      <c r="AL149" s="315">
        <v>0</v>
      </c>
      <c r="AM149" s="315">
        <v>0</v>
      </c>
      <c r="AN149" s="42">
        <f t="shared" si="41"/>
        <v>2</v>
      </c>
      <c r="AO149" s="318">
        <v>0</v>
      </c>
      <c r="AP149" s="318">
        <v>0</v>
      </c>
      <c r="AQ149" s="318">
        <v>2</v>
      </c>
      <c r="AR149" s="318">
        <v>0</v>
      </c>
      <c r="AS149" s="318">
        <v>0</v>
      </c>
      <c r="AT149" s="318">
        <v>2</v>
      </c>
      <c r="AU149" s="42">
        <f t="shared" si="42"/>
        <v>0</v>
      </c>
      <c r="AV149" s="318">
        <v>0</v>
      </c>
      <c r="AW149" s="318">
        <v>380</v>
      </c>
      <c r="AX149" s="315"/>
      <c r="AY149" s="636"/>
      <c r="AZ149" s="319"/>
      <c r="BA149" s="319"/>
      <c r="BB149" s="318">
        <v>1</v>
      </c>
      <c r="BC149" s="9"/>
      <c r="BD149" s="9"/>
      <c r="BE149" s="50">
        <f t="shared" si="43"/>
        <v>0</v>
      </c>
      <c r="BF149" s="50">
        <f t="shared" si="44"/>
        <v>0</v>
      </c>
      <c r="BG149" s="50">
        <f t="shared" si="45"/>
        <v>6.0999999999767196</v>
      </c>
      <c r="BH149" s="50">
        <f t="shared" si="46"/>
        <v>2</v>
      </c>
      <c r="BI149" s="50">
        <f t="shared" si="47"/>
        <v>0</v>
      </c>
      <c r="BJ149" s="50">
        <f t="shared" si="48"/>
        <v>0</v>
      </c>
      <c r="BK149" s="50">
        <f t="shared" si="49"/>
        <v>0</v>
      </c>
      <c r="BL149" s="50">
        <f t="shared" si="50"/>
        <v>0</v>
      </c>
      <c r="BM149" s="50">
        <f t="shared" si="51"/>
        <v>6.0999999999767196</v>
      </c>
      <c r="BN149" s="50">
        <f t="shared" si="52"/>
        <v>2</v>
      </c>
      <c r="BO149" s="50">
        <f t="shared" si="53"/>
        <v>0</v>
      </c>
      <c r="BP149" s="50">
        <f t="shared" si="54"/>
        <v>0</v>
      </c>
      <c r="BQ149" s="4" t="str">
        <f t="shared" si="55"/>
        <v>09,00 2025.07.10</v>
      </c>
      <c r="BR149" s="4" t="str">
        <f t="shared" si="56"/>
        <v>12,03 2025.07.10</v>
      </c>
      <c r="BS149" s="4" t="str">
        <f t="shared" si="57"/>
        <v>П</v>
      </c>
      <c r="BT149" s="10">
        <f t="shared" si="58"/>
        <v>3.0499999999883598</v>
      </c>
      <c r="BU149" s="42">
        <f t="shared" si="59"/>
        <v>2</v>
      </c>
      <c r="BV149" s="11">
        <f t="shared" si="60"/>
        <v>0</v>
      </c>
      <c r="BW149" s="11">
        <f t="shared" si="61"/>
        <v>0</v>
      </c>
      <c r="BX149" s="11">
        <f t="shared" si="62"/>
        <v>2</v>
      </c>
      <c r="BY149" s="11">
        <f t="shared" si="63"/>
        <v>0</v>
      </c>
      <c r="BZ149" s="11">
        <f t="shared" si="64"/>
        <v>0</v>
      </c>
      <c r="CA149" s="11">
        <f t="shared" si="65"/>
        <v>2</v>
      </c>
      <c r="CB149" s="42">
        <f t="shared" si="66"/>
        <v>0</v>
      </c>
      <c r="CC149" s="11">
        <f t="shared" si="67"/>
        <v>0</v>
      </c>
      <c r="CD149" s="11">
        <f t="shared" si="68"/>
        <v>1</v>
      </c>
      <c r="CE149" s="4"/>
      <c r="CF149" s="50">
        <f t="shared" si="69"/>
        <v>0</v>
      </c>
      <c r="CG149" s="50">
        <f t="shared" si="70"/>
        <v>0</v>
      </c>
      <c r="CH149" s="50">
        <f t="shared" si="71"/>
        <v>6.0999999999767196</v>
      </c>
      <c r="CI149" s="50">
        <f t="shared" si="72"/>
        <v>2</v>
      </c>
      <c r="CJ149" s="50">
        <f t="shared" si="73"/>
        <v>0</v>
      </c>
      <c r="CK149" s="50">
        <f t="shared" si="74"/>
        <v>0</v>
      </c>
      <c r="CL149" s="50">
        <f t="shared" si="75"/>
        <v>0</v>
      </c>
      <c r="CM149" s="50">
        <f t="shared" si="76"/>
        <v>0</v>
      </c>
      <c r="CN149" s="50">
        <f t="shared" si="77"/>
        <v>6.0999999999767196</v>
      </c>
      <c r="CO149" s="50">
        <f t="shared" si="78"/>
        <v>2</v>
      </c>
      <c r="CP149" s="50">
        <f t="shared" si="79"/>
        <v>0</v>
      </c>
      <c r="CQ149" s="50">
        <f t="shared" si="80"/>
        <v>0</v>
      </c>
      <c r="CR149"/>
    </row>
    <row r="150" spans="2:96" s="439" customFormat="1" ht="15.75" customHeight="1" x14ac:dyDescent="0.15">
      <c r="B150" s="59"/>
      <c r="D150" s="130">
        <v>21</v>
      </c>
      <c r="AA150" s="28" t="s">
        <v>701</v>
      </c>
      <c r="AB150" s="31" t="s">
        <v>1023</v>
      </c>
      <c r="AC150" s="247" t="s">
        <v>1445</v>
      </c>
      <c r="AD150" s="314" t="s">
        <v>110</v>
      </c>
      <c r="AE150" s="315" t="s">
        <v>1757</v>
      </c>
      <c r="AF150" s="316" t="s">
        <v>1432</v>
      </c>
      <c r="AG150" s="248" t="s">
        <v>1815</v>
      </c>
      <c r="AH150" s="248" t="s">
        <v>1816</v>
      </c>
      <c r="AI150" s="248" t="s">
        <v>100</v>
      </c>
      <c r="AJ150" s="317">
        <v>7.1166666666395004</v>
      </c>
      <c r="AK150" s="315" t="s">
        <v>1760</v>
      </c>
      <c r="AL150" s="315">
        <v>0</v>
      </c>
      <c r="AM150" s="315">
        <v>0</v>
      </c>
      <c r="AN150" s="42">
        <f t="shared" si="41"/>
        <v>1</v>
      </c>
      <c r="AO150" s="318">
        <v>0</v>
      </c>
      <c r="AP150" s="318">
        <v>0</v>
      </c>
      <c r="AQ150" s="318">
        <v>1</v>
      </c>
      <c r="AR150" s="318">
        <v>0</v>
      </c>
      <c r="AS150" s="318">
        <v>0</v>
      </c>
      <c r="AT150" s="318">
        <v>1</v>
      </c>
      <c r="AU150" s="42">
        <f t="shared" si="42"/>
        <v>0</v>
      </c>
      <c r="AV150" s="318">
        <v>0</v>
      </c>
      <c r="AW150" s="318">
        <v>350</v>
      </c>
      <c r="AX150" s="315"/>
      <c r="AY150" s="636"/>
      <c r="AZ150" s="319"/>
      <c r="BA150" s="319"/>
      <c r="BB150" s="318">
        <v>1</v>
      </c>
      <c r="BC150" s="9"/>
      <c r="BD150" s="9"/>
      <c r="BE150" s="50">
        <f t="shared" si="43"/>
        <v>0</v>
      </c>
      <c r="BF150" s="50">
        <f t="shared" si="44"/>
        <v>0</v>
      </c>
      <c r="BG150" s="50">
        <f t="shared" si="45"/>
        <v>7.1166666666395004</v>
      </c>
      <c r="BH150" s="50">
        <f t="shared" si="46"/>
        <v>1</v>
      </c>
      <c r="BI150" s="50">
        <f t="shared" si="47"/>
        <v>0</v>
      </c>
      <c r="BJ150" s="50">
        <f t="shared" si="48"/>
        <v>0</v>
      </c>
      <c r="BK150" s="50">
        <f t="shared" si="49"/>
        <v>0</v>
      </c>
      <c r="BL150" s="50">
        <f t="shared" si="50"/>
        <v>0</v>
      </c>
      <c r="BM150" s="50">
        <f t="shared" si="51"/>
        <v>7.1166666666395004</v>
      </c>
      <c r="BN150" s="50">
        <f t="shared" si="52"/>
        <v>1</v>
      </c>
      <c r="BO150" s="50">
        <f t="shared" si="53"/>
        <v>0</v>
      </c>
      <c r="BP150" s="50">
        <f t="shared" si="54"/>
        <v>0</v>
      </c>
      <c r="BQ150" s="4" t="str">
        <f t="shared" si="55"/>
        <v>10,13 2025.07.10</v>
      </c>
      <c r="BR150" s="4" t="str">
        <f t="shared" si="56"/>
        <v>17,20 2025.07.10</v>
      </c>
      <c r="BS150" s="4" t="str">
        <f t="shared" si="57"/>
        <v>П</v>
      </c>
      <c r="BT150" s="10">
        <f t="shared" si="58"/>
        <v>7.1166666666395004</v>
      </c>
      <c r="BU150" s="42">
        <f t="shared" si="59"/>
        <v>1</v>
      </c>
      <c r="BV150" s="11">
        <f t="shared" si="60"/>
        <v>0</v>
      </c>
      <c r="BW150" s="11">
        <f t="shared" si="61"/>
        <v>0</v>
      </c>
      <c r="BX150" s="11">
        <f t="shared" si="62"/>
        <v>1</v>
      </c>
      <c r="BY150" s="11">
        <f t="shared" si="63"/>
        <v>0</v>
      </c>
      <c r="BZ150" s="11">
        <f t="shared" si="64"/>
        <v>0</v>
      </c>
      <c r="CA150" s="11">
        <f t="shared" si="65"/>
        <v>1</v>
      </c>
      <c r="CB150" s="42">
        <f t="shared" si="66"/>
        <v>0</v>
      </c>
      <c r="CC150" s="11">
        <f t="shared" si="67"/>
        <v>0</v>
      </c>
      <c r="CD150" s="11">
        <f t="shared" si="68"/>
        <v>1</v>
      </c>
      <c r="CE150" s="4"/>
      <c r="CF150" s="50">
        <f t="shared" si="69"/>
        <v>0</v>
      </c>
      <c r="CG150" s="50">
        <f t="shared" si="70"/>
        <v>0</v>
      </c>
      <c r="CH150" s="50">
        <f t="shared" si="71"/>
        <v>7.1166666666395004</v>
      </c>
      <c r="CI150" s="50">
        <f t="shared" si="72"/>
        <v>1</v>
      </c>
      <c r="CJ150" s="50">
        <f t="shared" si="73"/>
        <v>0</v>
      </c>
      <c r="CK150" s="50">
        <f t="shared" si="74"/>
        <v>0</v>
      </c>
      <c r="CL150" s="50">
        <f t="shared" si="75"/>
        <v>0</v>
      </c>
      <c r="CM150" s="50">
        <f t="shared" si="76"/>
        <v>0</v>
      </c>
      <c r="CN150" s="50">
        <f t="shared" si="77"/>
        <v>7.1166666666395004</v>
      </c>
      <c r="CO150" s="50">
        <f t="shared" si="78"/>
        <v>1</v>
      </c>
      <c r="CP150" s="50">
        <f t="shared" si="79"/>
        <v>0</v>
      </c>
      <c r="CQ150" s="50">
        <f t="shared" si="80"/>
        <v>0</v>
      </c>
      <c r="CR150"/>
    </row>
    <row r="151" spans="2:96" s="440" customFormat="1" ht="15.75" customHeight="1" x14ac:dyDescent="0.15">
      <c r="B151" s="59"/>
      <c r="D151" s="130">
        <v>21</v>
      </c>
      <c r="AA151" s="28" t="s">
        <v>701</v>
      </c>
      <c r="AB151" s="31" t="s">
        <v>1024</v>
      </c>
      <c r="AC151" s="247" t="s">
        <v>1445</v>
      </c>
      <c r="AD151" s="314" t="s">
        <v>110</v>
      </c>
      <c r="AE151" s="315" t="s">
        <v>1802</v>
      </c>
      <c r="AF151" s="316" t="s">
        <v>1432</v>
      </c>
      <c r="AG151" s="248" t="s">
        <v>1817</v>
      </c>
      <c r="AH151" s="248" t="s">
        <v>1818</v>
      </c>
      <c r="AI151" s="248" t="s">
        <v>100</v>
      </c>
      <c r="AJ151" s="317">
        <v>9.1666666666860692</v>
      </c>
      <c r="AK151" s="315" t="s">
        <v>1805</v>
      </c>
      <c r="AL151" s="315">
        <v>0</v>
      </c>
      <c r="AM151" s="315">
        <v>0</v>
      </c>
      <c r="AN151" s="42">
        <f t="shared" si="41"/>
        <v>2</v>
      </c>
      <c r="AO151" s="318">
        <v>0</v>
      </c>
      <c r="AP151" s="318">
        <v>0</v>
      </c>
      <c r="AQ151" s="318">
        <v>2</v>
      </c>
      <c r="AR151" s="318">
        <v>0</v>
      </c>
      <c r="AS151" s="318">
        <v>0</v>
      </c>
      <c r="AT151" s="318">
        <v>2</v>
      </c>
      <c r="AU151" s="42">
        <f t="shared" si="42"/>
        <v>0</v>
      </c>
      <c r="AV151" s="318">
        <v>0</v>
      </c>
      <c r="AW151" s="318">
        <v>110</v>
      </c>
      <c r="AX151" s="315"/>
      <c r="AY151" s="636"/>
      <c r="AZ151" s="319"/>
      <c r="BA151" s="319"/>
      <c r="BB151" s="318">
        <v>1</v>
      </c>
      <c r="BC151" s="9"/>
      <c r="BD151" s="9"/>
      <c r="BE151" s="50">
        <f t="shared" si="43"/>
        <v>0</v>
      </c>
      <c r="BF151" s="50">
        <f t="shared" si="44"/>
        <v>0</v>
      </c>
      <c r="BG151" s="50">
        <f t="shared" si="45"/>
        <v>18.333333333372138</v>
      </c>
      <c r="BH151" s="50">
        <f t="shared" si="46"/>
        <v>2</v>
      </c>
      <c r="BI151" s="50">
        <f t="shared" si="47"/>
        <v>0</v>
      </c>
      <c r="BJ151" s="50">
        <f t="shared" si="48"/>
        <v>0</v>
      </c>
      <c r="BK151" s="50">
        <f t="shared" si="49"/>
        <v>0</v>
      </c>
      <c r="BL151" s="50">
        <f t="shared" si="50"/>
        <v>0</v>
      </c>
      <c r="BM151" s="50">
        <f t="shared" si="51"/>
        <v>18.333333333372138</v>
      </c>
      <c r="BN151" s="50">
        <f t="shared" si="52"/>
        <v>2</v>
      </c>
      <c r="BO151" s="50">
        <f t="shared" si="53"/>
        <v>0</v>
      </c>
      <c r="BP151" s="50">
        <f t="shared" si="54"/>
        <v>0</v>
      </c>
      <c r="BQ151" s="4" t="str">
        <f t="shared" si="55"/>
        <v>10,45 2025.07.10</v>
      </c>
      <c r="BR151" s="4" t="str">
        <f t="shared" si="56"/>
        <v>19,55 2025.07.10</v>
      </c>
      <c r="BS151" s="4" t="str">
        <f t="shared" si="57"/>
        <v>П</v>
      </c>
      <c r="BT151" s="10">
        <f t="shared" si="58"/>
        <v>9.1666666666860692</v>
      </c>
      <c r="BU151" s="42">
        <f t="shared" si="59"/>
        <v>2</v>
      </c>
      <c r="BV151" s="11">
        <f t="shared" si="60"/>
        <v>0</v>
      </c>
      <c r="BW151" s="11">
        <f t="shared" si="61"/>
        <v>0</v>
      </c>
      <c r="BX151" s="11">
        <f t="shared" si="62"/>
        <v>2</v>
      </c>
      <c r="BY151" s="11">
        <f t="shared" si="63"/>
        <v>0</v>
      </c>
      <c r="BZ151" s="11">
        <f t="shared" si="64"/>
        <v>0</v>
      </c>
      <c r="CA151" s="11">
        <f t="shared" si="65"/>
        <v>2</v>
      </c>
      <c r="CB151" s="42">
        <f t="shared" si="66"/>
        <v>0</v>
      </c>
      <c r="CC151" s="11">
        <f t="shared" si="67"/>
        <v>0</v>
      </c>
      <c r="CD151" s="11">
        <f t="shared" si="68"/>
        <v>1</v>
      </c>
      <c r="CE151" s="4"/>
      <c r="CF151" s="50">
        <f t="shared" si="69"/>
        <v>0</v>
      </c>
      <c r="CG151" s="50">
        <f t="shared" si="70"/>
        <v>0</v>
      </c>
      <c r="CH151" s="50">
        <f t="shared" si="71"/>
        <v>18.333333333372138</v>
      </c>
      <c r="CI151" s="50">
        <f t="shared" si="72"/>
        <v>2</v>
      </c>
      <c r="CJ151" s="50">
        <f t="shared" si="73"/>
        <v>0</v>
      </c>
      <c r="CK151" s="50">
        <f t="shared" si="74"/>
        <v>0</v>
      </c>
      <c r="CL151" s="50">
        <f t="shared" si="75"/>
        <v>0</v>
      </c>
      <c r="CM151" s="50">
        <f t="shared" si="76"/>
        <v>0</v>
      </c>
      <c r="CN151" s="50">
        <f t="shared" si="77"/>
        <v>18.333333333372138</v>
      </c>
      <c r="CO151" s="50">
        <f t="shared" si="78"/>
        <v>2</v>
      </c>
      <c r="CP151" s="50">
        <f t="shared" si="79"/>
        <v>0</v>
      </c>
      <c r="CQ151" s="50">
        <f t="shared" si="80"/>
        <v>0</v>
      </c>
      <c r="CR151"/>
    </row>
    <row r="152" spans="2:96" s="441" customFormat="1" ht="15.75" customHeight="1" x14ac:dyDescent="0.15">
      <c r="B152" s="59"/>
      <c r="D152" s="130">
        <v>21</v>
      </c>
      <c r="AA152" s="28" t="s">
        <v>701</v>
      </c>
      <c r="AB152" s="31" t="s">
        <v>1025</v>
      </c>
      <c r="AC152" s="247" t="s">
        <v>1627</v>
      </c>
      <c r="AD152" s="314" t="s">
        <v>110</v>
      </c>
      <c r="AE152" s="315" t="s">
        <v>1672</v>
      </c>
      <c r="AF152" s="316" t="s">
        <v>1432</v>
      </c>
      <c r="AG152" s="248" t="s">
        <v>1819</v>
      </c>
      <c r="AH152" s="248" t="s">
        <v>1820</v>
      </c>
      <c r="AI152" s="248" t="s">
        <v>122</v>
      </c>
      <c r="AJ152" s="317">
        <v>4.9999999988358503E-2</v>
      </c>
      <c r="AK152" s="315" t="s">
        <v>1675</v>
      </c>
      <c r="AL152" s="315">
        <v>0</v>
      </c>
      <c r="AM152" s="315">
        <v>0</v>
      </c>
      <c r="AN152" s="42">
        <f t="shared" si="41"/>
        <v>1</v>
      </c>
      <c r="AO152" s="318">
        <v>0</v>
      </c>
      <c r="AP152" s="318">
        <v>0</v>
      </c>
      <c r="AQ152" s="318">
        <v>1</v>
      </c>
      <c r="AR152" s="318">
        <v>0</v>
      </c>
      <c r="AS152" s="318">
        <v>0</v>
      </c>
      <c r="AT152" s="318">
        <v>1</v>
      </c>
      <c r="AU152" s="42">
        <f t="shared" si="42"/>
        <v>0</v>
      </c>
      <c r="AV152" s="318">
        <v>0</v>
      </c>
      <c r="AW152" s="318">
        <v>420</v>
      </c>
      <c r="AX152" s="315"/>
      <c r="AY152" s="636" t="s">
        <v>2084</v>
      </c>
      <c r="AZ152" s="319" t="s">
        <v>199</v>
      </c>
      <c r="BA152" s="319" t="s">
        <v>2041</v>
      </c>
      <c r="BB152" s="318">
        <v>0</v>
      </c>
      <c r="BC152" s="9"/>
      <c r="BD152" s="9"/>
      <c r="BE152" s="50">
        <f t="shared" si="43"/>
        <v>0</v>
      </c>
      <c r="BF152" s="50">
        <f t="shared" si="44"/>
        <v>0</v>
      </c>
      <c r="BG152" s="50">
        <f t="shared" si="45"/>
        <v>0</v>
      </c>
      <c r="BH152" s="50">
        <f t="shared" si="46"/>
        <v>0</v>
      </c>
      <c r="BI152" s="50">
        <f t="shared" si="47"/>
        <v>0</v>
      </c>
      <c r="BJ152" s="50">
        <f t="shared" si="48"/>
        <v>0</v>
      </c>
      <c r="BK152" s="50">
        <f t="shared" si="49"/>
        <v>0</v>
      </c>
      <c r="BL152" s="50">
        <f t="shared" si="50"/>
        <v>0</v>
      </c>
      <c r="BM152" s="50">
        <f t="shared" si="51"/>
        <v>0</v>
      </c>
      <c r="BN152" s="50">
        <f t="shared" si="52"/>
        <v>0</v>
      </c>
      <c r="BO152" s="50">
        <f t="shared" si="53"/>
        <v>0</v>
      </c>
      <c r="BP152" s="50">
        <f t="shared" si="54"/>
        <v>0</v>
      </c>
      <c r="BQ152" s="4" t="str">
        <f t="shared" si="55"/>
        <v>04,26 2025.07.13</v>
      </c>
      <c r="BR152" s="4" t="str">
        <f t="shared" si="56"/>
        <v>04,29 2025.07.13</v>
      </c>
      <c r="BS152" s="4" t="str">
        <f t="shared" si="57"/>
        <v>В</v>
      </c>
      <c r="BT152" s="10">
        <f t="shared" si="58"/>
        <v>4.9999999988358503E-2</v>
      </c>
      <c r="BU152" s="42">
        <f t="shared" si="59"/>
        <v>1</v>
      </c>
      <c r="BV152" s="11">
        <f t="shared" si="60"/>
        <v>0</v>
      </c>
      <c r="BW152" s="11">
        <f t="shared" si="61"/>
        <v>0</v>
      </c>
      <c r="BX152" s="11">
        <f t="shared" si="62"/>
        <v>1</v>
      </c>
      <c r="BY152" s="11">
        <f t="shared" si="63"/>
        <v>0</v>
      </c>
      <c r="BZ152" s="11">
        <f t="shared" si="64"/>
        <v>0</v>
      </c>
      <c r="CA152" s="11">
        <f t="shared" si="65"/>
        <v>1</v>
      </c>
      <c r="CB152" s="42">
        <f t="shared" si="66"/>
        <v>0</v>
      </c>
      <c r="CC152" s="11">
        <f t="shared" si="67"/>
        <v>0</v>
      </c>
      <c r="CD152" s="11">
        <f t="shared" si="68"/>
        <v>0</v>
      </c>
      <c r="CE152" s="4"/>
      <c r="CF152" s="50">
        <f t="shared" si="69"/>
        <v>0</v>
      </c>
      <c r="CG152" s="50">
        <f t="shared" si="70"/>
        <v>0</v>
      </c>
      <c r="CH152" s="50">
        <f t="shared" si="71"/>
        <v>0</v>
      </c>
      <c r="CI152" s="50">
        <f t="shared" si="72"/>
        <v>0</v>
      </c>
      <c r="CJ152" s="50">
        <f t="shared" si="73"/>
        <v>0</v>
      </c>
      <c r="CK152" s="50">
        <f t="shared" si="74"/>
        <v>0</v>
      </c>
      <c r="CL152" s="50">
        <f t="shared" si="75"/>
        <v>0</v>
      </c>
      <c r="CM152" s="50">
        <f t="shared" si="76"/>
        <v>0</v>
      </c>
      <c r="CN152" s="50">
        <f t="shared" si="77"/>
        <v>0</v>
      </c>
      <c r="CO152" s="50">
        <f t="shared" si="78"/>
        <v>0</v>
      </c>
      <c r="CP152" s="50">
        <f t="shared" si="79"/>
        <v>0</v>
      </c>
      <c r="CQ152" s="50">
        <f t="shared" si="80"/>
        <v>0</v>
      </c>
      <c r="CR152"/>
    </row>
    <row r="153" spans="2:96" s="442" customFormat="1" ht="15.75" customHeight="1" x14ac:dyDescent="0.15">
      <c r="B153" s="59"/>
      <c r="D153" s="130">
        <v>21</v>
      </c>
      <c r="AA153" s="28" t="s">
        <v>701</v>
      </c>
      <c r="AB153" s="31" t="s">
        <v>1026</v>
      </c>
      <c r="AC153" s="247" t="s">
        <v>1627</v>
      </c>
      <c r="AD153" s="314" t="s">
        <v>110</v>
      </c>
      <c r="AE153" s="315" t="s">
        <v>1672</v>
      </c>
      <c r="AF153" s="316" t="s">
        <v>1432</v>
      </c>
      <c r="AG153" s="248" t="s">
        <v>1821</v>
      </c>
      <c r="AH153" s="248" t="s">
        <v>1822</v>
      </c>
      <c r="AI153" s="248" t="s">
        <v>100</v>
      </c>
      <c r="AJ153" s="317">
        <v>0.36666666663950298</v>
      </c>
      <c r="AK153" s="315" t="s">
        <v>1675</v>
      </c>
      <c r="AL153" s="315">
        <v>0</v>
      </c>
      <c r="AM153" s="315">
        <v>0</v>
      </c>
      <c r="AN153" s="42">
        <f t="shared" si="41"/>
        <v>1</v>
      </c>
      <c r="AO153" s="318">
        <v>0</v>
      </c>
      <c r="AP153" s="318">
        <v>0</v>
      </c>
      <c r="AQ153" s="318">
        <v>1</v>
      </c>
      <c r="AR153" s="318">
        <v>0</v>
      </c>
      <c r="AS153" s="318">
        <v>0</v>
      </c>
      <c r="AT153" s="318">
        <v>1</v>
      </c>
      <c r="AU153" s="42">
        <f t="shared" si="42"/>
        <v>0</v>
      </c>
      <c r="AV153" s="318">
        <v>0</v>
      </c>
      <c r="AW153" s="318">
        <v>610</v>
      </c>
      <c r="AX153" s="315"/>
      <c r="AY153" s="636"/>
      <c r="AZ153" s="319"/>
      <c r="BA153" s="319"/>
      <c r="BB153" s="318">
        <v>1</v>
      </c>
      <c r="BC153" s="9"/>
      <c r="BD153" s="9"/>
      <c r="BE153" s="50">
        <f t="shared" si="43"/>
        <v>0</v>
      </c>
      <c r="BF153" s="50">
        <f t="shared" si="44"/>
        <v>0</v>
      </c>
      <c r="BG153" s="50">
        <f t="shared" si="45"/>
        <v>0.36666666663950298</v>
      </c>
      <c r="BH153" s="50">
        <f t="shared" si="46"/>
        <v>1</v>
      </c>
      <c r="BI153" s="50">
        <f t="shared" si="47"/>
        <v>0</v>
      </c>
      <c r="BJ153" s="50">
        <f t="shared" si="48"/>
        <v>0</v>
      </c>
      <c r="BK153" s="50">
        <f t="shared" si="49"/>
        <v>0</v>
      </c>
      <c r="BL153" s="50">
        <f t="shared" si="50"/>
        <v>0</v>
      </c>
      <c r="BM153" s="50">
        <f t="shared" si="51"/>
        <v>0.36666666663950298</v>
      </c>
      <c r="BN153" s="50">
        <f t="shared" si="52"/>
        <v>1</v>
      </c>
      <c r="BO153" s="50">
        <f t="shared" si="53"/>
        <v>0</v>
      </c>
      <c r="BP153" s="50">
        <f t="shared" si="54"/>
        <v>0</v>
      </c>
      <c r="BQ153" s="4" t="str">
        <f t="shared" si="55"/>
        <v>15,09 2025.07.13</v>
      </c>
      <c r="BR153" s="4" t="str">
        <f t="shared" si="56"/>
        <v>15,31 2025.07.13</v>
      </c>
      <c r="BS153" s="4" t="str">
        <f t="shared" si="57"/>
        <v>П</v>
      </c>
      <c r="BT153" s="10">
        <f t="shared" si="58"/>
        <v>0.36666666663950298</v>
      </c>
      <c r="BU153" s="42">
        <f t="shared" si="59"/>
        <v>1</v>
      </c>
      <c r="BV153" s="11">
        <f t="shared" si="60"/>
        <v>0</v>
      </c>
      <c r="BW153" s="11">
        <f t="shared" si="61"/>
        <v>0</v>
      </c>
      <c r="BX153" s="11">
        <f t="shared" si="62"/>
        <v>1</v>
      </c>
      <c r="BY153" s="11">
        <f t="shared" si="63"/>
        <v>0</v>
      </c>
      <c r="BZ153" s="11">
        <f t="shared" si="64"/>
        <v>0</v>
      </c>
      <c r="CA153" s="11">
        <f t="shared" si="65"/>
        <v>1</v>
      </c>
      <c r="CB153" s="42">
        <f t="shared" si="66"/>
        <v>0</v>
      </c>
      <c r="CC153" s="11">
        <f t="shared" si="67"/>
        <v>0</v>
      </c>
      <c r="CD153" s="11">
        <f t="shared" si="68"/>
        <v>1</v>
      </c>
      <c r="CE153" s="4"/>
      <c r="CF153" s="50">
        <f t="shared" si="69"/>
        <v>0</v>
      </c>
      <c r="CG153" s="50">
        <f t="shared" si="70"/>
        <v>0</v>
      </c>
      <c r="CH153" s="50">
        <f t="shared" si="71"/>
        <v>0.36666666663950298</v>
      </c>
      <c r="CI153" s="50">
        <f t="shared" si="72"/>
        <v>1</v>
      </c>
      <c r="CJ153" s="50">
        <f t="shared" si="73"/>
        <v>0</v>
      </c>
      <c r="CK153" s="50">
        <f t="shared" si="74"/>
        <v>0</v>
      </c>
      <c r="CL153" s="50">
        <f t="shared" si="75"/>
        <v>0</v>
      </c>
      <c r="CM153" s="50">
        <f t="shared" si="76"/>
        <v>0</v>
      </c>
      <c r="CN153" s="50">
        <f t="shared" si="77"/>
        <v>0.36666666663950298</v>
      </c>
      <c r="CO153" s="50">
        <f t="shared" si="78"/>
        <v>1</v>
      </c>
      <c r="CP153" s="50">
        <f t="shared" si="79"/>
        <v>0</v>
      </c>
      <c r="CQ153" s="50">
        <f t="shared" si="80"/>
        <v>0</v>
      </c>
      <c r="CR153"/>
    </row>
    <row r="154" spans="2:96" s="443" customFormat="1" ht="15.75" customHeight="1" x14ac:dyDescent="0.15">
      <c r="B154" s="59"/>
      <c r="D154" s="130">
        <v>21</v>
      </c>
      <c r="AA154" s="28" t="s">
        <v>701</v>
      </c>
      <c r="AB154" s="31" t="s">
        <v>1027</v>
      </c>
      <c r="AC154" s="247" t="s">
        <v>1435</v>
      </c>
      <c r="AD154" s="314" t="s">
        <v>110</v>
      </c>
      <c r="AE154" s="315" t="s">
        <v>1454</v>
      </c>
      <c r="AF154" s="316" t="s">
        <v>1432</v>
      </c>
      <c r="AG154" s="248" t="s">
        <v>1823</v>
      </c>
      <c r="AH154" s="248" t="s">
        <v>1824</v>
      </c>
      <c r="AI154" s="248" t="s">
        <v>100</v>
      </c>
      <c r="AJ154" s="317">
        <v>2.4999999999417901</v>
      </c>
      <c r="AK154" s="315" t="s">
        <v>1457</v>
      </c>
      <c r="AL154" s="315">
        <v>0</v>
      </c>
      <c r="AM154" s="315">
        <v>0</v>
      </c>
      <c r="AN154" s="42">
        <f t="shared" si="41"/>
        <v>1</v>
      </c>
      <c r="AO154" s="318">
        <v>0</v>
      </c>
      <c r="AP154" s="318">
        <v>0</v>
      </c>
      <c r="AQ154" s="318">
        <v>1</v>
      </c>
      <c r="AR154" s="318">
        <v>0</v>
      </c>
      <c r="AS154" s="318">
        <v>0</v>
      </c>
      <c r="AT154" s="318">
        <v>1</v>
      </c>
      <c r="AU154" s="42">
        <f t="shared" si="42"/>
        <v>0</v>
      </c>
      <c r="AV154" s="318">
        <v>0</v>
      </c>
      <c r="AW154" s="318">
        <v>340</v>
      </c>
      <c r="AX154" s="315"/>
      <c r="AY154" s="636"/>
      <c r="AZ154" s="319"/>
      <c r="BA154" s="319"/>
      <c r="BB154" s="318">
        <v>1</v>
      </c>
      <c r="BC154" s="9"/>
      <c r="BD154" s="9"/>
      <c r="BE154" s="50">
        <f t="shared" si="43"/>
        <v>0</v>
      </c>
      <c r="BF154" s="50">
        <f t="shared" si="44"/>
        <v>0</v>
      </c>
      <c r="BG154" s="50">
        <f t="shared" si="45"/>
        <v>2.4999999999417901</v>
      </c>
      <c r="BH154" s="50">
        <f t="shared" si="46"/>
        <v>1</v>
      </c>
      <c r="BI154" s="50">
        <f t="shared" si="47"/>
        <v>0</v>
      </c>
      <c r="BJ154" s="50">
        <f t="shared" si="48"/>
        <v>0</v>
      </c>
      <c r="BK154" s="50">
        <f t="shared" si="49"/>
        <v>0</v>
      </c>
      <c r="BL154" s="50">
        <f t="shared" si="50"/>
        <v>0</v>
      </c>
      <c r="BM154" s="50">
        <f t="shared" si="51"/>
        <v>2.4999999999417901</v>
      </c>
      <c r="BN154" s="50">
        <f t="shared" si="52"/>
        <v>1</v>
      </c>
      <c r="BO154" s="50">
        <f t="shared" si="53"/>
        <v>0</v>
      </c>
      <c r="BP154" s="50">
        <f t="shared" si="54"/>
        <v>0</v>
      </c>
      <c r="BQ154" s="4" t="str">
        <f t="shared" si="55"/>
        <v>10,01 2025.07.14</v>
      </c>
      <c r="BR154" s="4" t="str">
        <f t="shared" si="56"/>
        <v>12,31 2025.07.14</v>
      </c>
      <c r="BS154" s="4" t="str">
        <f t="shared" si="57"/>
        <v>П</v>
      </c>
      <c r="BT154" s="10">
        <f t="shared" si="58"/>
        <v>2.4999999999417901</v>
      </c>
      <c r="BU154" s="42">
        <f t="shared" si="59"/>
        <v>1</v>
      </c>
      <c r="BV154" s="11">
        <f t="shared" si="60"/>
        <v>0</v>
      </c>
      <c r="BW154" s="11">
        <f t="shared" si="61"/>
        <v>0</v>
      </c>
      <c r="BX154" s="11">
        <f t="shared" si="62"/>
        <v>1</v>
      </c>
      <c r="BY154" s="11">
        <f t="shared" si="63"/>
        <v>0</v>
      </c>
      <c r="BZ154" s="11">
        <f t="shared" si="64"/>
        <v>0</v>
      </c>
      <c r="CA154" s="11">
        <f t="shared" si="65"/>
        <v>1</v>
      </c>
      <c r="CB154" s="42">
        <f t="shared" si="66"/>
        <v>0</v>
      </c>
      <c r="CC154" s="11">
        <f t="shared" si="67"/>
        <v>0</v>
      </c>
      <c r="CD154" s="11">
        <f t="shared" si="68"/>
        <v>1</v>
      </c>
      <c r="CE154" s="4"/>
      <c r="CF154" s="50">
        <f t="shared" si="69"/>
        <v>0</v>
      </c>
      <c r="CG154" s="50">
        <f t="shared" si="70"/>
        <v>0</v>
      </c>
      <c r="CH154" s="50">
        <f t="shared" si="71"/>
        <v>2.4999999999417901</v>
      </c>
      <c r="CI154" s="50">
        <f t="shared" si="72"/>
        <v>1</v>
      </c>
      <c r="CJ154" s="50">
        <f t="shared" si="73"/>
        <v>0</v>
      </c>
      <c r="CK154" s="50">
        <f t="shared" si="74"/>
        <v>0</v>
      </c>
      <c r="CL154" s="50">
        <f t="shared" si="75"/>
        <v>0</v>
      </c>
      <c r="CM154" s="50">
        <f t="shared" si="76"/>
        <v>0</v>
      </c>
      <c r="CN154" s="50">
        <f t="shared" si="77"/>
        <v>2.4999999999417901</v>
      </c>
      <c r="CO154" s="50">
        <f t="shared" si="78"/>
        <v>1</v>
      </c>
      <c r="CP154" s="50">
        <f t="shared" si="79"/>
        <v>0</v>
      </c>
      <c r="CQ154" s="50">
        <f t="shared" si="80"/>
        <v>0</v>
      </c>
      <c r="CR154"/>
    </row>
    <row r="155" spans="2:96" s="444" customFormat="1" ht="15.75" customHeight="1" x14ac:dyDescent="0.15">
      <c r="B155" s="59"/>
      <c r="D155" s="130">
        <v>21</v>
      </c>
      <c r="AA155" s="28" t="s">
        <v>701</v>
      </c>
      <c r="AB155" s="31" t="s">
        <v>1028</v>
      </c>
      <c r="AC155" s="247" t="s">
        <v>1435</v>
      </c>
      <c r="AD155" s="314" t="s">
        <v>110</v>
      </c>
      <c r="AE155" s="315" t="s">
        <v>1825</v>
      </c>
      <c r="AF155" s="316" t="s">
        <v>1432</v>
      </c>
      <c r="AG155" s="248" t="s">
        <v>1826</v>
      </c>
      <c r="AH155" s="248" t="s">
        <v>1826</v>
      </c>
      <c r="AI155" s="248" t="s">
        <v>122</v>
      </c>
      <c r="AJ155" s="317">
        <v>0</v>
      </c>
      <c r="AK155" s="315" t="s">
        <v>1827</v>
      </c>
      <c r="AL155" s="315">
        <v>0</v>
      </c>
      <c r="AM155" s="315">
        <v>0</v>
      </c>
      <c r="AN155" s="42">
        <f t="shared" si="41"/>
        <v>1</v>
      </c>
      <c r="AO155" s="318">
        <v>0</v>
      </c>
      <c r="AP155" s="318">
        <v>0</v>
      </c>
      <c r="AQ155" s="318">
        <v>1</v>
      </c>
      <c r="AR155" s="318">
        <v>0</v>
      </c>
      <c r="AS155" s="318">
        <v>0</v>
      </c>
      <c r="AT155" s="318">
        <v>1</v>
      </c>
      <c r="AU155" s="42">
        <f t="shared" si="42"/>
        <v>0</v>
      </c>
      <c r="AV155" s="318">
        <v>0</v>
      </c>
      <c r="AW155" s="318">
        <v>357</v>
      </c>
      <c r="AX155" s="315"/>
      <c r="AY155" s="636" t="s">
        <v>2085</v>
      </c>
      <c r="AZ155" s="319" t="s">
        <v>199</v>
      </c>
      <c r="BA155" s="319" t="s">
        <v>2041</v>
      </c>
      <c r="BB155" s="318">
        <v>0</v>
      </c>
      <c r="BC155" s="9"/>
      <c r="BD155" s="9"/>
      <c r="BE155" s="50">
        <f t="shared" si="43"/>
        <v>0</v>
      </c>
      <c r="BF155" s="50">
        <f t="shared" si="44"/>
        <v>0</v>
      </c>
      <c r="BG155" s="50">
        <f t="shared" si="45"/>
        <v>0</v>
      </c>
      <c r="BH155" s="50">
        <f t="shared" si="46"/>
        <v>0</v>
      </c>
      <c r="BI155" s="50">
        <f t="shared" si="47"/>
        <v>0</v>
      </c>
      <c r="BJ155" s="50">
        <f t="shared" si="48"/>
        <v>0</v>
      </c>
      <c r="BK155" s="50">
        <f t="shared" si="49"/>
        <v>0</v>
      </c>
      <c r="BL155" s="50">
        <f t="shared" si="50"/>
        <v>0</v>
      </c>
      <c r="BM155" s="50">
        <f t="shared" si="51"/>
        <v>0</v>
      </c>
      <c r="BN155" s="50">
        <f t="shared" si="52"/>
        <v>0</v>
      </c>
      <c r="BO155" s="50">
        <f t="shared" si="53"/>
        <v>0</v>
      </c>
      <c r="BP155" s="50">
        <f t="shared" si="54"/>
        <v>0</v>
      </c>
      <c r="BQ155" s="4" t="str">
        <f t="shared" si="55"/>
        <v>14,22 2025.07.16</v>
      </c>
      <c r="BR155" s="4" t="str">
        <f t="shared" si="56"/>
        <v>14,22 2025.07.16</v>
      </c>
      <c r="BS155" s="4" t="str">
        <f t="shared" si="57"/>
        <v>В</v>
      </c>
      <c r="BT155" s="10">
        <f t="shared" si="58"/>
        <v>0</v>
      </c>
      <c r="BU155" s="42">
        <f t="shared" si="59"/>
        <v>1</v>
      </c>
      <c r="BV155" s="11">
        <f t="shared" si="60"/>
        <v>0</v>
      </c>
      <c r="BW155" s="11">
        <f t="shared" si="61"/>
        <v>0</v>
      </c>
      <c r="BX155" s="11">
        <f t="shared" si="62"/>
        <v>1</v>
      </c>
      <c r="BY155" s="11">
        <f t="shared" si="63"/>
        <v>0</v>
      </c>
      <c r="BZ155" s="11">
        <f t="shared" si="64"/>
        <v>0</v>
      </c>
      <c r="CA155" s="11">
        <f t="shared" si="65"/>
        <v>1</v>
      </c>
      <c r="CB155" s="42">
        <f t="shared" si="66"/>
        <v>0</v>
      </c>
      <c r="CC155" s="11">
        <f t="shared" si="67"/>
        <v>0</v>
      </c>
      <c r="CD155" s="11">
        <f t="shared" si="68"/>
        <v>0</v>
      </c>
      <c r="CE155" s="4"/>
      <c r="CF155" s="50">
        <f t="shared" si="69"/>
        <v>0</v>
      </c>
      <c r="CG155" s="50">
        <f t="shared" si="70"/>
        <v>0</v>
      </c>
      <c r="CH155" s="50">
        <f t="shared" si="71"/>
        <v>0</v>
      </c>
      <c r="CI155" s="50">
        <f t="shared" si="72"/>
        <v>0</v>
      </c>
      <c r="CJ155" s="50">
        <f t="shared" si="73"/>
        <v>0</v>
      </c>
      <c r="CK155" s="50">
        <f t="shared" si="74"/>
        <v>0</v>
      </c>
      <c r="CL155" s="50">
        <f t="shared" si="75"/>
        <v>0</v>
      </c>
      <c r="CM155" s="50">
        <f t="shared" si="76"/>
        <v>0</v>
      </c>
      <c r="CN155" s="50">
        <f t="shared" si="77"/>
        <v>0</v>
      </c>
      <c r="CO155" s="50">
        <f t="shared" si="78"/>
        <v>0</v>
      </c>
      <c r="CP155" s="50">
        <f t="shared" si="79"/>
        <v>0</v>
      </c>
      <c r="CQ155" s="50">
        <f t="shared" si="80"/>
        <v>0</v>
      </c>
      <c r="CR155"/>
    </row>
    <row r="156" spans="2:96" s="445" customFormat="1" ht="15.75" customHeight="1" x14ac:dyDescent="0.15">
      <c r="B156" s="59"/>
      <c r="D156" s="130">
        <v>21</v>
      </c>
      <c r="AA156" s="28" t="s">
        <v>701</v>
      </c>
      <c r="AB156" s="31" t="s">
        <v>1029</v>
      </c>
      <c r="AC156" s="247" t="s">
        <v>1445</v>
      </c>
      <c r="AD156" s="314" t="s">
        <v>110</v>
      </c>
      <c r="AE156" s="315" t="s">
        <v>1499</v>
      </c>
      <c r="AF156" s="316" t="s">
        <v>1432</v>
      </c>
      <c r="AG156" s="248" t="s">
        <v>1828</v>
      </c>
      <c r="AH156" s="248" t="s">
        <v>1829</v>
      </c>
      <c r="AI156" s="248" t="s">
        <v>122</v>
      </c>
      <c r="AJ156" s="317">
        <v>0.46666666661622003</v>
      </c>
      <c r="AK156" s="315" t="s">
        <v>1502</v>
      </c>
      <c r="AL156" s="315">
        <v>0</v>
      </c>
      <c r="AM156" s="315">
        <v>0</v>
      </c>
      <c r="AN156" s="42">
        <f t="shared" si="41"/>
        <v>1</v>
      </c>
      <c r="AO156" s="318">
        <v>0</v>
      </c>
      <c r="AP156" s="318">
        <v>0</v>
      </c>
      <c r="AQ156" s="318">
        <v>1</v>
      </c>
      <c r="AR156" s="318">
        <v>0</v>
      </c>
      <c r="AS156" s="318">
        <v>0</v>
      </c>
      <c r="AT156" s="318">
        <v>1</v>
      </c>
      <c r="AU156" s="42">
        <f t="shared" si="42"/>
        <v>0</v>
      </c>
      <c r="AV156" s="318">
        <v>0</v>
      </c>
      <c r="AW156" s="318">
        <v>767</v>
      </c>
      <c r="AX156" s="315"/>
      <c r="AY156" s="636" t="s">
        <v>2086</v>
      </c>
      <c r="AZ156" s="319" t="s">
        <v>201</v>
      </c>
      <c r="BA156" s="319" t="s">
        <v>2041</v>
      </c>
      <c r="BB156" s="318">
        <v>0</v>
      </c>
      <c r="BC156" s="9"/>
      <c r="BD156" s="9"/>
      <c r="BE156" s="50">
        <f t="shared" si="43"/>
        <v>0</v>
      </c>
      <c r="BF156" s="50">
        <f t="shared" si="44"/>
        <v>0</v>
      </c>
      <c r="BG156" s="50">
        <f t="shared" si="45"/>
        <v>0</v>
      </c>
      <c r="BH156" s="50">
        <f t="shared" si="46"/>
        <v>0</v>
      </c>
      <c r="BI156" s="50">
        <f t="shared" si="47"/>
        <v>0</v>
      </c>
      <c r="BJ156" s="50">
        <f t="shared" si="48"/>
        <v>0</v>
      </c>
      <c r="BK156" s="50">
        <f t="shared" si="49"/>
        <v>0</v>
      </c>
      <c r="BL156" s="50">
        <f t="shared" si="50"/>
        <v>0</v>
      </c>
      <c r="BM156" s="50">
        <f t="shared" si="51"/>
        <v>0</v>
      </c>
      <c r="BN156" s="50">
        <f t="shared" si="52"/>
        <v>0</v>
      </c>
      <c r="BO156" s="50">
        <f t="shared" si="53"/>
        <v>0</v>
      </c>
      <c r="BP156" s="50">
        <f t="shared" si="54"/>
        <v>0</v>
      </c>
      <c r="BQ156" s="4" t="str">
        <f t="shared" si="55"/>
        <v>18,53 2025.07.20</v>
      </c>
      <c r="BR156" s="4" t="str">
        <f t="shared" si="56"/>
        <v>19,21 2025.07.20</v>
      </c>
      <c r="BS156" s="4" t="str">
        <f t="shared" si="57"/>
        <v>В</v>
      </c>
      <c r="BT156" s="10">
        <f t="shared" si="58"/>
        <v>0.46666666661622003</v>
      </c>
      <c r="BU156" s="42">
        <f t="shared" si="59"/>
        <v>1</v>
      </c>
      <c r="BV156" s="11">
        <f t="shared" si="60"/>
        <v>0</v>
      </c>
      <c r="BW156" s="11">
        <f t="shared" si="61"/>
        <v>0</v>
      </c>
      <c r="BX156" s="11">
        <f t="shared" si="62"/>
        <v>1</v>
      </c>
      <c r="BY156" s="11">
        <f t="shared" si="63"/>
        <v>0</v>
      </c>
      <c r="BZ156" s="11">
        <f t="shared" si="64"/>
        <v>0</v>
      </c>
      <c r="CA156" s="11">
        <f t="shared" si="65"/>
        <v>1</v>
      </c>
      <c r="CB156" s="42">
        <f t="shared" si="66"/>
        <v>0</v>
      </c>
      <c r="CC156" s="11">
        <f t="shared" si="67"/>
        <v>0</v>
      </c>
      <c r="CD156" s="11">
        <f t="shared" si="68"/>
        <v>0</v>
      </c>
      <c r="CE156" s="4"/>
      <c r="CF156" s="50">
        <f t="shared" si="69"/>
        <v>0</v>
      </c>
      <c r="CG156" s="50">
        <f t="shared" si="70"/>
        <v>0</v>
      </c>
      <c r="CH156" s="50">
        <f t="shared" si="71"/>
        <v>0</v>
      </c>
      <c r="CI156" s="50">
        <f t="shared" si="72"/>
        <v>0</v>
      </c>
      <c r="CJ156" s="50">
        <f t="shared" si="73"/>
        <v>0</v>
      </c>
      <c r="CK156" s="50">
        <f t="shared" si="74"/>
        <v>0</v>
      </c>
      <c r="CL156" s="50">
        <f t="shared" si="75"/>
        <v>0</v>
      </c>
      <c r="CM156" s="50">
        <f t="shared" si="76"/>
        <v>0</v>
      </c>
      <c r="CN156" s="50">
        <f t="shared" si="77"/>
        <v>0</v>
      </c>
      <c r="CO156" s="50">
        <f t="shared" si="78"/>
        <v>0</v>
      </c>
      <c r="CP156" s="50">
        <f t="shared" si="79"/>
        <v>0</v>
      </c>
      <c r="CQ156" s="50">
        <f t="shared" si="80"/>
        <v>0</v>
      </c>
      <c r="CR156"/>
    </row>
    <row r="157" spans="2:96" s="446" customFormat="1" ht="15.75" customHeight="1" x14ac:dyDescent="0.15">
      <c r="B157" s="59"/>
      <c r="D157" s="130">
        <v>21</v>
      </c>
      <c r="AA157" s="28" t="s">
        <v>701</v>
      </c>
      <c r="AB157" s="31" t="s">
        <v>1030</v>
      </c>
      <c r="AC157" s="247" t="s">
        <v>1445</v>
      </c>
      <c r="AD157" s="314" t="s">
        <v>110</v>
      </c>
      <c r="AE157" s="315" t="s">
        <v>1830</v>
      </c>
      <c r="AF157" s="316" t="s">
        <v>1432</v>
      </c>
      <c r="AG157" s="248" t="s">
        <v>1831</v>
      </c>
      <c r="AH157" s="248" t="s">
        <v>1832</v>
      </c>
      <c r="AI157" s="248" t="s">
        <v>100</v>
      </c>
      <c r="AJ157" s="317">
        <v>2.0000000000582099</v>
      </c>
      <c r="AK157" s="315" t="s">
        <v>1833</v>
      </c>
      <c r="AL157" s="315">
        <v>0</v>
      </c>
      <c r="AM157" s="315">
        <v>0</v>
      </c>
      <c r="AN157" s="42">
        <f t="shared" ref="AN157:AN220" si="81">AO157+AP157+AQ157+AV157</f>
        <v>1</v>
      </c>
      <c r="AO157" s="318">
        <v>0</v>
      </c>
      <c r="AP157" s="318">
        <v>0</v>
      </c>
      <c r="AQ157" s="318">
        <v>1</v>
      </c>
      <c r="AR157" s="318">
        <v>0</v>
      </c>
      <c r="AS157" s="318">
        <v>0</v>
      </c>
      <c r="AT157" s="318">
        <v>1</v>
      </c>
      <c r="AU157" s="42">
        <f t="shared" ref="AU157:AU220" si="82">AN157-AR157-AS157-AT157-AV157</f>
        <v>0</v>
      </c>
      <c r="AV157" s="318">
        <v>0</v>
      </c>
      <c r="AW157" s="318">
        <v>60</v>
      </c>
      <c r="AX157" s="315"/>
      <c r="AY157" s="636"/>
      <c r="AZ157" s="319"/>
      <c r="BA157" s="319"/>
      <c r="BB157" s="318">
        <v>1</v>
      </c>
      <c r="BC157" s="9"/>
      <c r="BD157" s="9"/>
      <c r="BE157" s="50">
        <f t="shared" ref="BE157:BE220" si="83">IF(AND(AI157="В",BB157="1"),SUMPRODUCT(AN157,AJ157),0)</f>
        <v>0</v>
      </c>
      <c r="BF157" s="50">
        <f t="shared" ref="BF157:BF220" si="84">IF(AND(AI157="В",BB157="1"),AN157,0)</f>
        <v>0</v>
      </c>
      <c r="BG157" s="50">
        <f t="shared" ref="BG157:BG220" si="85">IF(AI157="П",SUMPRODUCT(AN157,AJ157),0)</f>
        <v>2.0000000000582099</v>
      </c>
      <c r="BH157" s="50">
        <f t="shared" ref="BH157:BH220" si="86">IF(AI157="П",AN157,0)</f>
        <v>1</v>
      </c>
      <c r="BI157" s="50">
        <f t="shared" ref="BI157:BI220" si="87">IF(AI157="П",SUMPRODUCT(AR157,AJ157),0)</f>
        <v>0</v>
      </c>
      <c r="BJ157" s="50">
        <f t="shared" ref="BJ157:BJ220" si="88">IF(AI157="П",AR157,0)</f>
        <v>0</v>
      </c>
      <c r="BK157" s="50">
        <f t="shared" ref="BK157:BK220" si="89">IF(AI157="П",SUMPRODUCT(AS157,AJ157),0)</f>
        <v>0</v>
      </c>
      <c r="BL157" s="50">
        <f t="shared" ref="BL157:BL220" si="90">IF(AI157="П",AS157,0)</f>
        <v>0</v>
      </c>
      <c r="BM157" s="50">
        <f t="shared" ref="BM157:BM220" si="91">IF(AI157="П",SUMPRODUCT(AT157,AJ157),0)</f>
        <v>2.0000000000582099</v>
      </c>
      <c r="BN157" s="50">
        <f t="shared" ref="BN157:BN220" si="92">IF(AI157="П",AT157,0)</f>
        <v>1</v>
      </c>
      <c r="BO157" s="50">
        <f t="shared" ref="BO157:BO220" si="93">IF(AI157="П",SUMPRODUCT(AU157,AJ157),0)</f>
        <v>0</v>
      </c>
      <c r="BP157" s="50">
        <f t="shared" ref="BP157:BP220" si="94">IF(AI157="П",AU157,0)</f>
        <v>0</v>
      </c>
      <c r="BQ157" s="4" t="str">
        <f t="shared" ref="BQ157:BQ220" si="95">AG157</f>
        <v>10,00 2025.07.23</v>
      </c>
      <c r="BR157" s="4" t="str">
        <f t="shared" ref="BR157:BR220" si="96">AH157</f>
        <v>12,00 2025.07.23</v>
      </c>
      <c r="BS157" s="4" t="str">
        <f t="shared" ref="BS157:BS220" si="97">AI157</f>
        <v>П</v>
      </c>
      <c r="BT157" s="10">
        <f t="shared" ref="BT157:BT220" si="98">AJ157</f>
        <v>2.0000000000582099</v>
      </c>
      <c r="BU157" s="42">
        <f t="shared" ref="BU157:BU220" si="99">BV157+BW157+BX157+CC157</f>
        <v>1</v>
      </c>
      <c r="BV157" s="11">
        <f t="shared" ref="BV157:BV220" si="100">AO157</f>
        <v>0</v>
      </c>
      <c r="BW157" s="11">
        <f t="shared" ref="BW157:BW220" si="101">AP157</f>
        <v>0</v>
      </c>
      <c r="BX157" s="11">
        <f t="shared" ref="BX157:BX220" si="102">AQ157</f>
        <v>1</v>
      </c>
      <c r="BY157" s="11">
        <f t="shared" ref="BY157:BY220" si="103">AR157</f>
        <v>0</v>
      </c>
      <c r="BZ157" s="11">
        <f t="shared" ref="BZ157:BZ220" si="104">AS157</f>
        <v>0</v>
      </c>
      <c r="CA157" s="11">
        <f t="shared" ref="CA157:CA220" si="105">AT157</f>
        <v>1</v>
      </c>
      <c r="CB157" s="42">
        <f t="shared" ref="CB157:CB220" si="106">BU157-BY157-BZ157-CA157-CC157</f>
        <v>0</v>
      </c>
      <c r="CC157" s="11">
        <f t="shared" ref="CC157:CC220" si="107">AV157</f>
        <v>0</v>
      </c>
      <c r="CD157" s="11">
        <f t="shared" ref="CD157:CD220" si="108">BB157</f>
        <v>1</v>
      </c>
      <c r="CE157" s="4"/>
      <c r="CF157" s="50">
        <f t="shared" ref="CF157:CF220" si="109">IF(AND(BS157="В",CD157="1"),SUMPRODUCT(BT157,BU157),0)</f>
        <v>0</v>
      </c>
      <c r="CG157" s="50">
        <f t="shared" ref="CG157:CG220" si="110">IF(AND(BS157="В",CD157="1"),BU157,0)</f>
        <v>0</v>
      </c>
      <c r="CH157" s="50">
        <f t="shared" ref="CH157:CH220" si="111">IF(BS157="П",SUMPRODUCT(BT157,BU157),0)</f>
        <v>2.0000000000582099</v>
      </c>
      <c r="CI157" s="50">
        <f t="shared" ref="CI157:CI220" si="112">IF(BS157="П",BU157,0)</f>
        <v>1</v>
      </c>
      <c r="CJ157" s="50">
        <f t="shared" ref="CJ157:CJ220" si="113">IF(BS157="П",SUMPRODUCT(BT157,BY157),0)</f>
        <v>0</v>
      </c>
      <c r="CK157" s="50">
        <f t="shared" ref="CK157:CK220" si="114">IF(BS157="П",BY157,0)</f>
        <v>0</v>
      </c>
      <c r="CL157" s="50">
        <f t="shared" ref="CL157:CL220" si="115">IF(BS157="П",SUMPRODUCT(BT157,BZ157),0)</f>
        <v>0</v>
      </c>
      <c r="CM157" s="50">
        <f t="shared" ref="CM157:CM220" si="116">IF(BS157="П",BZ157,0)</f>
        <v>0</v>
      </c>
      <c r="CN157" s="50">
        <f t="shared" ref="CN157:CN220" si="117">IF(BS157="П",SUMPRODUCT(BT157,CA157),0)</f>
        <v>2.0000000000582099</v>
      </c>
      <c r="CO157" s="50">
        <f t="shared" ref="CO157:CO220" si="118">IF(BS157="П",CA157,0)</f>
        <v>1</v>
      </c>
      <c r="CP157" s="50">
        <f t="shared" ref="CP157:CP220" si="119">IF(BS157="П",SUMPRODUCT(BT157,CB157),0)</f>
        <v>0</v>
      </c>
      <c r="CQ157" s="50">
        <f t="shared" ref="CQ157:CQ220" si="120">IF(BS157="П",CB157,0)</f>
        <v>0</v>
      </c>
      <c r="CR157"/>
    </row>
    <row r="158" spans="2:96" s="447" customFormat="1" ht="15.75" customHeight="1" x14ac:dyDescent="0.15">
      <c r="B158" s="59"/>
      <c r="D158" s="130">
        <v>21</v>
      </c>
      <c r="AA158" s="28" t="s">
        <v>701</v>
      </c>
      <c r="AB158" s="31" t="s">
        <v>1031</v>
      </c>
      <c r="AC158" s="247" t="s">
        <v>1435</v>
      </c>
      <c r="AD158" s="314" t="s">
        <v>110</v>
      </c>
      <c r="AE158" s="315" t="s">
        <v>1834</v>
      </c>
      <c r="AF158" s="316" t="s">
        <v>1432</v>
      </c>
      <c r="AG158" s="248" t="s">
        <v>1835</v>
      </c>
      <c r="AH158" s="248" t="s">
        <v>1835</v>
      </c>
      <c r="AI158" s="248" t="s">
        <v>122</v>
      </c>
      <c r="AJ158" s="317">
        <v>0</v>
      </c>
      <c r="AK158" s="315" t="s">
        <v>1836</v>
      </c>
      <c r="AL158" s="315">
        <v>0</v>
      </c>
      <c r="AM158" s="315">
        <v>3</v>
      </c>
      <c r="AN158" s="42">
        <f t="shared" si="81"/>
        <v>9</v>
      </c>
      <c r="AO158" s="318">
        <v>0</v>
      </c>
      <c r="AP158" s="318">
        <v>3</v>
      </c>
      <c r="AQ158" s="318">
        <v>6</v>
      </c>
      <c r="AR158" s="318">
        <v>0</v>
      </c>
      <c r="AS158" s="318">
        <v>0</v>
      </c>
      <c r="AT158" s="318">
        <v>9</v>
      </c>
      <c r="AU158" s="42">
        <f t="shared" si="82"/>
        <v>0</v>
      </c>
      <c r="AV158" s="318">
        <v>0</v>
      </c>
      <c r="AW158" s="318">
        <v>311</v>
      </c>
      <c r="AX158" s="315"/>
      <c r="AY158" s="636" t="s">
        <v>2087</v>
      </c>
      <c r="AZ158" s="319" t="s">
        <v>201</v>
      </c>
      <c r="BA158" s="319" t="s">
        <v>2041</v>
      </c>
      <c r="BB158" s="318">
        <v>0</v>
      </c>
      <c r="BC158" s="9"/>
      <c r="BD158" s="9"/>
      <c r="BE158" s="50">
        <f t="shared" si="83"/>
        <v>0</v>
      </c>
      <c r="BF158" s="50">
        <f t="shared" si="84"/>
        <v>0</v>
      </c>
      <c r="BG158" s="50">
        <f t="shared" si="85"/>
        <v>0</v>
      </c>
      <c r="BH158" s="50">
        <f t="shared" si="86"/>
        <v>0</v>
      </c>
      <c r="BI158" s="50">
        <f t="shared" si="87"/>
        <v>0</v>
      </c>
      <c r="BJ158" s="50">
        <f t="shared" si="88"/>
        <v>0</v>
      </c>
      <c r="BK158" s="50">
        <f t="shared" si="89"/>
        <v>0</v>
      </c>
      <c r="BL158" s="50">
        <f t="shared" si="90"/>
        <v>0</v>
      </c>
      <c r="BM158" s="50">
        <f t="shared" si="91"/>
        <v>0</v>
      </c>
      <c r="BN158" s="50">
        <f t="shared" si="92"/>
        <v>0</v>
      </c>
      <c r="BO158" s="50">
        <f t="shared" si="93"/>
        <v>0</v>
      </c>
      <c r="BP158" s="50">
        <f t="shared" si="94"/>
        <v>0</v>
      </c>
      <c r="BQ158" s="4" t="str">
        <f t="shared" si="95"/>
        <v>13,46 2025.07.25</v>
      </c>
      <c r="BR158" s="4" t="str">
        <f t="shared" si="96"/>
        <v>13,46 2025.07.25</v>
      </c>
      <c r="BS158" s="4" t="str">
        <f t="shared" si="97"/>
        <v>В</v>
      </c>
      <c r="BT158" s="10">
        <f t="shared" si="98"/>
        <v>0</v>
      </c>
      <c r="BU158" s="42">
        <f t="shared" si="99"/>
        <v>9</v>
      </c>
      <c r="BV158" s="11">
        <f t="shared" si="100"/>
        <v>0</v>
      </c>
      <c r="BW158" s="11">
        <f t="shared" si="101"/>
        <v>3</v>
      </c>
      <c r="BX158" s="11">
        <f t="shared" si="102"/>
        <v>6</v>
      </c>
      <c r="BY158" s="11">
        <f t="shared" si="103"/>
        <v>0</v>
      </c>
      <c r="BZ158" s="11">
        <f t="shared" si="104"/>
        <v>0</v>
      </c>
      <c r="CA158" s="11">
        <f t="shared" si="105"/>
        <v>9</v>
      </c>
      <c r="CB158" s="42">
        <f t="shared" si="106"/>
        <v>0</v>
      </c>
      <c r="CC158" s="11">
        <f t="shared" si="107"/>
        <v>0</v>
      </c>
      <c r="CD158" s="11">
        <f t="shared" si="108"/>
        <v>0</v>
      </c>
      <c r="CE158" s="4"/>
      <c r="CF158" s="50">
        <f t="shared" si="109"/>
        <v>0</v>
      </c>
      <c r="CG158" s="50">
        <f t="shared" si="110"/>
        <v>0</v>
      </c>
      <c r="CH158" s="50">
        <f t="shared" si="111"/>
        <v>0</v>
      </c>
      <c r="CI158" s="50">
        <f t="shared" si="112"/>
        <v>0</v>
      </c>
      <c r="CJ158" s="50">
        <f t="shared" si="113"/>
        <v>0</v>
      </c>
      <c r="CK158" s="50">
        <f t="shared" si="114"/>
        <v>0</v>
      </c>
      <c r="CL158" s="50">
        <f t="shared" si="115"/>
        <v>0</v>
      </c>
      <c r="CM158" s="50">
        <f t="shared" si="116"/>
        <v>0</v>
      </c>
      <c r="CN158" s="50">
        <f t="shared" si="117"/>
        <v>0</v>
      </c>
      <c r="CO158" s="50">
        <f t="shared" si="118"/>
        <v>0</v>
      </c>
      <c r="CP158" s="50">
        <f t="shared" si="119"/>
        <v>0</v>
      </c>
      <c r="CQ158" s="50">
        <f t="shared" si="120"/>
        <v>0</v>
      </c>
      <c r="CR158"/>
    </row>
    <row r="159" spans="2:96" s="448" customFormat="1" ht="15.75" customHeight="1" x14ac:dyDescent="0.15">
      <c r="B159" s="59"/>
      <c r="D159" s="130">
        <v>21</v>
      </c>
      <c r="AA159" s="28" t="s">
        <v>701</v>
      </c>
      <c r="AB159" s="31" t="s">
        <v>1032</v>
      </c>
      <c r="AC159" s="247" t="s">
        <v>1435</v>
      </c>
      <c r="AD159" s="314" t="s">
        <v>110</v>
      </c>
      <c r="AE159" s="315" t="s">
        <v>1834</v>
      </c>
      <c r="AF159" s="316" t="s">
        <v>1432</v>
      </c>
      <c r="AG159" s="248" t="s">
        <v>1837</v>
      </c>
      <c r="AH159" s="248" t="s">
        <v>1838</v>
      </c>
      <c r="AI159" s="248" t="s">
        <v>122</v>
      </c>
      <c r="AJ159" s="317">
        <v>0.78333333326736498</v>
      </c>
      <c r="AK159" s="315" t="s">
        <v>1836</v>
      </c>
      <c r="AL159" s="315">
        <v>0</v>
      </c>
      <c r="AM159" s="315">
        <v>3</v>
      </c>
      <c r="AN159" s="42">
        <f t="shared" si="81"/>
        <v>9</v>
      </c>
      <c r="AO159" s="318">
        <v>0</v>
      </c>
      <c r="AP159" s="318">
        <v>3</v>
      </c>
      <c r="AQ159" s="318">
        <v>6</v>
      </c>
      <c r="AR159" s="318">
        <v>0</v>
      </c>
      <c r="AS159" s="318">
        <v>0</v>
      </c>
      <c r="AT159" s="318">
        <v>9</v>
      </c>
      <c r="AU159" s="42">
        <f t="shared" si="82"/>
        <v>0</v>
      </c>
      <c r="AV159" s="318">
        <v>0</v>
      </c>
      <c r="AW159" s="318">
        <v>311</v>
      </c>
      <c r="AX159" s="315"/>
      <c r="AY159" s="636" t="s">
        <v>2087</v>
      </c>
      <c r="AZ159" s="319" t="s">
        <v>201</v>
      </c>
      <c r="BA159" s="319" t="s">
        <v>2041</v>
      </c>
      <c r="BB159" s="318">
        <v>0</v>
      </c>
      <c r="BC159" s="9"/>
      <c r="BD159" s="9"/>
      <c r="BE159" s="50">
        <f t="shared" si="83"/>
        <v>0</v>
      </c>
      <c r="BF159" s="50">
        <f t="shared" si="84"/>
        <v>0</v>
      </c>
      <c r="BG159" s="50">
        <f t="shared" si="85"/>
        <v>0</v>
      </c>
      <c r="BH159" s="50">
        <f t="shared" si="86"/>
        <v>0</v>
      </c>
      <c r="BI159" s="50">
        <f t="shared" si="87"/>
        <v>0</v>
      </c>
      <c r="BJ159" s="50">
        <f t="shared" si="88"/>
        <v>0</v>
      </c>
      <c r="BK159" s="50">
        <f t="shared" si="89"/>
        <v>0</v>
      </c>
      <c r="BL159" s="50">
        <f t="shared" si="90"/>
        <v>0</v>
      </c>
      <c r="BM159" s="50">
        <f t="shared" si="91"/>
        <v>0</v>
      </c>
      <c r="BN159" s="50">
        <f t="shared" si="92"/>
        <v>0</v>
      </c>
      <c r="BO159" s="50">
        <f t="shared" si="93"/>
        <v>0</v>
      </c>
      <c r="BP159" s="50">
        <f t="shared" si="94"/>
        <v>0</v>
      </c>
      <c r="BQ159" s="4" t="str">
        <f t="shared" si="95"/>
        <v>15,23 2025.07.26</v>
      </c>
      <c r="BR159" s="4" t="str">
        <f t="shared" si="96"/>
        <v>16,10 2025.07.26</v>
      </c>
      <c r="BS159" s="4" t="str">
        <f t="shared" si="97"/>
        <v>В</v>
      </c>
      <c r="BT159" s="10">
        <f t="shared" si="98"/>
        <v>0.78333333326736498</v>
      </c>
      <c r="BU159" s="42">
        <f t="shared" si="99"/>
        <v>9</v>
      </c>
      <c r="BV159" s="11">
        <f t="shared" si="100"/>
        <v>0</v>
      </c>
      <c r="BW159" s="11">
        <f t="shared" si="101"/>
        <v>3</v>
      </c>
      <c r="BX159" s="11">
        <f t="shared" si="102"/>
        <v>6</v>
      </c>
      <c r="BY159" s="11">
        <f t="shared" si="103"/>
        <v>0</v>
      </c>
      <c r="BZ159" s="11">
        <f t="shared" si="104"/>
        <v>0</v>
      </c>
      <c r="CA159" s="11">
        <f t="shared" si="105"/>
        <v>9</v>
      </c>
      <c r="CB159" s="42">
        <f t="shared" si="106"/>
        <v>0</v>
      </c>
      <c r="CC159" s="11">
        <f t="shared" si="107"/>
        <v>0</v>
      </c>
      <c r="CD159" s="11">
        <f t="shared" si="108"/>
        <v>0</v>
      </c>
      <c r="CE159" s="4"/>
      <c r="CF159" s="50">
        <f t="shared" si="109"/>
        <v>0</v>
      </c>
      <c r="CG159" s="50">
        <f t="shared" si="110"/>
        <v>0</v>
      </c>
      <c r="CH159" s="50">
        <f t="shared" si="111"/>
        <v>0</v>
      </c>
      <c r="CI159" s="50">
        <f t="shared" si="112"/>
        <v>0</v>
      </c>
      <c r="CJ159" s="50">
        <f t="shared" si="113"/>
        <v>0</v>
      </c>
      <c r="CK159" s="50">
        <f t="shared" si="114"/>
        <v>0</v>
      </c>
      <c r="CL159" s="50">
        <f t="shared" si="115"/>
        <v>0</v>
      </c>
      <c r="CM159" s="50">
        <f t="shared" si="116"/>
        <v>0</v>
      </c>
      <c r="CN159" s="50">
        <f t="shared" si="117"/>
        <v>0</v>
      </c>
      <c r="CO159" s="50">
        <f t="shared" si="118"/>
        <v>0</v>
      </c>
      <c r="CP159" s="50">
        <f t="shared" si="119"/>
        <v>0</v>
      </c>
      <c r="CQ159" s="50">
        <f t="shared" si="120"/>
        <v>0</v>
      </c>
      <c r="CR159"/>
    </row>
    <row r="160" spans="2:96" s="449" customFormat="1" ht="15.75" customHeight="1" x14ac:dyDescent="0.15">
      <c r="B160" s="59"/>
      <c r="D160" s="130">
        <v>21</v>
      </c>
      <c r="AA160" s="28" t="s">
        <v>701</v>
      </c>
      <c r="AB160" s="31" t="s">
        <v>1033</v>
      </c>
      <c r="AC160" s="247" t="s">
        <v>1435</v>
      </c>
      <c r="AD160" s="314" t="s">
        <v>110</v>
      </c>
      <c r="AE160" s="315" t="s">
        <v>1834</v>
      </c>
      <c r="AF160" s="316" t="s">
        <v>1432</v>
      </c>
      <c r="AG160" s="248" t="s">
        <v>1839</v>
      </c>
      <c r="AH160" s="248" t="s">
        <v>1840</v>
      </c>
      <c r="AI160" s="248" t="s">
        <v>100</v>
      </c>
      <c r="AJ160" s="317">
        <v>2.2166666667326398</v>
      </c>
      <c r="AK160" s="315" t="s">
        <v>1836</v>
      </c>
      <c r="AL160" s="315">
        <v>0</v>
      </c>
      <c r="AM160" s="315">
        <v>0</v>
      </c>
      <c r="AN160" s="42">
        <f t="shared" si="81"/>
        <v>4</v>
      </c>
      <c r="AO160" s="318">
        <v>0</v>
      </c>
      <c r="AP160" s="318">
        <v>0</v>
      </c>
      <c r="AQ160" s="318">
        <v>4</v>
      </c>
      <c r="AR160" s="318">
        <v>0</v>
      </c>
      <c r="AS160" s="318">
        <v>0</v>
      </c>
      <c r="AT160" s="318">
        <v>4</v>
      </c>
      <c r="AU160" s="42">
        <f t="shared" si="82"/>
        <v>0</v>
      </c>
      <c r="AV160" s="318">
        <v>0</v>
      </c>
      <c r="AW160" s="318">
        <v>270</v>
      </c>
      <c r="AX160" s="315"/>
      <c r="AY160" s="636"/>
      <c r="AZ160" s="319"/>
      <c r="BA160" s="319"/>
      <c r="BB160" s="318">
        <v>1</v>
      </c>
      <c r="BC160" s="9"/>
      <c r="BD160" s="9"/>
      <c r="BE160" s="50">
        <f t="shared" si="83"/>
        <v>0</v>
      </c>
      <c r="BF160" s="50">
        <f t="shared" si="84"/>
        <v>0</v>
      </c>
      <c r="BG160" s="50">
        <f t="shared" si="85"/>
        <v>8.8666666669305592</v>
      </c>
      <c r="BH160" s="50">
        <f t="shared" si="86"/>
        <v>4</v>
      </c>
      <c r="BI160" s="50">
        <f t="shared" si="87"/>
        <v>0</v>
      </c>
      <c r="BJ160" s="50">
        <f t="shared" si="88"/>
        <v>0</v>
      </c>
      <c r="BK160" s="50">
        <f t="shared" si="89"/>
        <v>0</v>
      </c>
      <c r="BL160" s="50">
        <f t="shared" si="90"/>
        <v>0</v>
      </c>
      <c r="BM160" s="50">
        <f t="shared" si="91"/>
        <v>8.8666666669305592</v>
      </c>
      <c r="BN160" s="50">
        <f t="shared" si="92"/>
        <v>4</v>
      </c>
      <c r="BO160" s="50">
        <f t="shared" si="93"/>
        <v>0</v>
      </c>
      <c r="BP160" s="50">
        <f t="shared" si="94"/>
        <v>0</v>
      </c>
      <c r="BQ160" s="4" t="str">
        <f t="shared" si="95"/>
        <v>17,05 2025.07.26</v>
      </c>
      <c r="BR160" s="4" t="str">
        <f t="shared" si="96"/>
        <v>19,18 2025.07.26</v>
      </c>
      <c r="BS160" s="4" t="str">
        <f t="shared" si="97"/>
        <v>П</v>
      </c>
      <c r="BT160" s="10">
        <f t="shared" si="98"/>
        <v>2.2166666667326398</v>
      </c>
      <c r="BU160" s="42">
        <f t="shared" si="99"/>
        <v>4</v>
      </c>
      <c r="BV160" s="11">
        <f t="shared" si="100"/>
        <v>0</v>
      </c>
      <c r="BW160" s="11">
        <f t="shared" si="101"/>
        <v>0</v>
      </c>
      <c r="BX160" s="11">
        <f t="shared" si="102"/>
        <v>4</v>
      </c>
      <c r="BY160" s="11">
        <f t="shared" si="103"/>
        <v>0</v>
      </c>
      <c r="BZ160" s="11">
        <f t="shared" si="104"/>
        <v>0</v>
      </c>
      <c r="CA160" s="11">
        <f t="shared" si="105"/>
        <v>4</v>
      </c>
      <c r="CB160" s="42">
        <f t="shared" si="106"/>
        <v>0</v>
      </c>
      <c r="CC160" s="11">
        <f t="shared" si="107"/>
        <v>0</v>
      </c>
      <c r="CD160" s="11">
        <f t="shared" si="108"/>
        <v>1</v>
      </c>
      <c r="CE160" s="4"/>
      <c r="CF160" s="50">
        <f t="shared" si="109"/>
        <v>0</v>
      </c>
      <c r="CG160" s="50">
        <f t="shared" si="110"/>
        <v>0</v>
      </c>
      <c r="CH160" s="50">
        <f t="shared" si="111"/>
        <v>8.8666666669305592</v>
      </c>
      <c r="CI160" s="50">
        <f t="shared" si="112"/>
        <v>4</v>
      </c>
      <c r="CJ160" s="50">
        <f t="shared" si="113"/>
        <v>0</v>
      </c>
      <c r="CK160" s="50">
        <f t="shared" si="114"/>
        <v>0</v>
      </c>
      <c r="CL160" s="50">
        <f t="shared" si="115"/>
        <v>0</v>
      </c>
      <c r="CM160" s="50">
        <f t="shared" si="116"/>
        <v>0</v>
      </c>
      <c r="CN160" s="50">
        <f t="shared" si="117"/>
        <v>8.8666666669305592</v>
      </c>
      <c r="CO160" s="50">
        <f t="shared" si="118"/>
        <v>4</v>
      </c>
      <c r="CP160" s="50">
        <f t="shared" si="119"/>
        <v>0</v>
      </c>
      <c r="CQ160" s="50">
        <f t="shared" si="120"/>
        <v>0</v>
      </c>
      <c r="CR160"/>
    </row>
    <row r="161" spans="2:96" s="450" customFormat="1" ht="15.75" customHeight="1" x14ac:dyDescent="0.15">
      <c r="B161" s="59"/>
      <c r="D161" s="130">
        <v>21</v>
      </c>
      <c r="AA161" s="28" t="s">
        <v>701</v>
      </c>
      <c r="AB161" s="31" t="s">
        <v>1034</v>
      </c>
      <c r="AC161" s="247" t="s">
        <v>1435</v>
      </c>
      <c r="AD161" s="314" t="s">
        <v>110</v>
      </c>
      <c r="AE161" s="315" t="s">
        <v>1576</v>
      </c>
      <c r="AF161" s="316" t="s">
        <v>1432</v>
      </c>
      <c r="AG161" s="248" t="s">
        <v>1841</v>
      </c>
      <c r="AH161" s="248" t="s">
        <v>1842</v>
      </c>
      <c r="AI161" s="248" t="s">
        <v>122</v>
      </c>
      <c r="AJ161" s="317">
        <v>2.9333333332906499</v>
      </c>
      <c r="AK161" s="315" t="s">
        <v>1579</v>
      </c>
      <c r="AL161" s="315">
        <v>0</v>
      </c>
      <c r="AM161" s="315">
        <v>0</v>
      </c>
      <c r="AN161" s="42">
        <f t="shared" si="81"/>
        <v>3</v>
      </c>
      <c r="AO161" s="318">
        <v>0</v>
      </c>
      <c r="AP161" s="318">
        <v>0</v>
      </c>
      <c r="AQ161" s="318">
        <v>3</v>
      </c>
      <c r="AR161" s="318">
        <v>0</v>
      </c>
      <c r="AS161" s="318">
        <v>0</v>
      </c>
      <c r="AT161" s="318">
        <v>3</v>
      </c>
      <c r="AU161" s="42">
        <f t="shared" si="82"/>
        <v>0</v>
      </c>
      <c r="AV161" s="318">
        <v>0</v>
      </c>
      <c r="AW161" s="318">
        <v>218</v>
      </c>
      <c r="AX161" s="315"/>
      <c r="AY161" s="636" t="s">
        <v>2088</v>
      </c>
      <c r="AZ161" s="319" t="s">
        <v>192</v>
      </c>
      <c r="BA161" s="319" t="s">
        <v>2041</v>
      </c>
      <c r="BB161" s="318">
        <v>0</v>
      </c>
      <c r="BC161" s="9"/>
      <c r="BD161" s="9"/>
      <c r="BE161" s="50">
        <f t="shared" si="83"/>
        <v>0</v>
      </c>
      <c r="BF161" s="50">
        <f t="shared" si="84"/>
        <v>0</v>
      </c>
      <c r="BG161" s="50">
        <f t="shared" si="85"/>
        <v>0</v>
      </c>
      <c r="BH161" s="50">
        <f t="shared" si="86"/>
        <v>0</v>
      </c>
      <c r="BI161" s="50">
        <f t="shared" si="87"/>
        <v>0</v>
      </c>
      <c r="BJ161" s="50">
        <f t="shared" si="88"/>
        <v>0</v>
      </c>
      <c r="BK161" s="50">
        <f t="shared" si="89"/>
        <v>0</v>
      </c>
      <c r="BL161" s="50">
        <f t="shared" si="90"/>
        <v>0</v>
      </c>
      <c r="BM161" s="50">
        <f t="shared" si="91"/>
        <v>0</v>
      </c>
      <c r="BN161" s="50">
        <f t="shared" si="92"/>
        <v>0</v>
      </c>
      <c r="BO161" s="50">
        <f t="shared" si="93"/>
        <v>0</v>
      </c>
      <c r="BP161" s="50">
        <f t="shared" si="94"/>
        <v>0</v>
      </c>
      <c r="BQ161" s="4" t="str">
        <f t="shared" si="95"/>
        <v>23,02 2025.07.26</v>
      </c>
      <c r="BR161" s="4" t="str">
        <f t="shared" si="96"/>
        <v>01,58 2025.07.27</v>
      </c>
      <c r="BS161" s="4" t="str">
        <f t="shared" si="97"/>
        <v>В</v>
      </c>
      <c r="BT161" s="10">
        <f t="shared" si="98"/>
        <v>2.9333333332906499</v>
      </c>
      <c r="BU161" s="42">
        <f t="shared" si="99"/>
        <v>3</v>
      </c>
      <c r="BV161" s="11">
        <f t="shared" si="100"/>
        <v>0</v>
      </c>
      <c r="BW161" s="11">
        <f t="shared" si="101"/>
        <v>0</v>
      </c>
      <c r="BX161" s="11">
        <f t="shared" si="102"/>
        <v>3</v>
      </c>
      <c r="BY161" s="11">
        <f t="shared" si="103"/>
        <v>0</v>
      </c>
      <c r="BZ161" s="11">
        <f t="shared" si="104"/>
        <v>0</v>
      </c>
      <c r="CA161" s="11">
        <f t="shared" si="105"/>
        <v>3</v>
      </c>
      <c r="CB161" s="42">
        <f t="shared" si="106"/>
        <v>0</v>
      </c>
      <c r="CC161" s="11">
        <f t="shared" si="107"/>
        <v>0</v>
      </c>
      <c r="CD161" s="11">
        <f t="shared" si="108"/>
        <v>0</v>
      </c>
      <c r="CE161" s="4"/>
      <c r="CF161" s="50">
        <f t="shared" si="109"/>
        <v>0</v>
      </c>
      <c r="CG161" s="50">
        <f t="shared" si="110"/>
        <v>0</v>
      </c>
      <c r="CH161" s="50">
        <f t="shared" si="111"/>
        <v>0</v>
      </c>
      <c r="CI161" s="50">
        <f t="shared" si="112"/>
        <v>0</v>
      </c>
      <c r="CJ161" s="50">
        <f t="shared" si="113"/>
        <v>0</v>
      </c>
      <c r="CK161" s="50">
        <f t="shared" si="114"/>
        <v>0</v>
      </c>
      <c r="CL161" s="50">
        <f t="shared" si="115"/>
        <v>0</v>
      </c>
      <c r="CM161" s="50">
        <f t="shared" si="116"/>
        <v>0</v>
      </c>
      <c r="CN161" s="50">
        <f t="shared" si="117"/>
        <v>0</v>
      </c>
      <c r="CO161" s="50">
        <f t="shared" si="118"/>
        <v>0</v>
      </c>
      <c r="CP161" s="50">
        <f t="shared" si="119"/>
        <v>0</v>
      </c>
      <c r="CQ161" s="50">
        <f t="shared" si="120"/>
        <v>0</v>
      </c>
      <c r="CR161"/>
    </row>
    <row r="162" spans="2:96" s="451" customFormat="1" ht="15.75" customHeight="1" x14ac:dyDescent="0.15">
      <c r="B162" s="59"/>
      <c r="D162" s="130">
        <v>21</v>
      </c>
      <c r="AA162" s="28" t="s">
        <v>701</v>
      </c>
      <c r="AB162" s="31" t="s">
        <v>1035</v>
      </c>
      <c r="AC162" s="247" t="s">
        <v>1627</v>
      </c>
      <c r="AD162" s="314" t="s">
        <v>110</v>
      </c>
      <c r="AE162" s="315" t="s">
        <v>1843</v>
      </c>
      <c r="AF162" s="316" t="s">
        <v>1432</v>
      </c>
      <c r="AG162" s="248" t="s">
        <v>1844</v>
      </c>
      <c r="AH162" s="248" t="s">
        <v>1844</v>
      </c>
      <c r="AI162" s="248" t="s">
        <v>122</v>
      </c>
      <c r="AJ162" s="317">
        <v>0</v>
      </c>
      <c r="AK162" s="315" t="s">
        <v>1845</v>
      </c>
      <c r="AL162" s="315">
        <v>0</v>
      </c>
      <c r="AM162" s="315">
        <v>0</v>
      </c>
      <c r="AN162" s="42">
        <f t="shared" si="81"/>
        <v>1</v>
      </c>
      <c r="AO162" s="318">
        <v>0</v>
      </c>
      <c r="AP162" s="318">
        <v>0</v>
      </c>
      <c r="AQ162" s="318">
        <v>1</v>
      </c>
      <c r="AR162" s="318">
        <v>0</v>
      </c>
      <c r="AS162" s="318">
        <v>0</v>
      </c>
      <c r="AT162" s="318">
        <v>1</v>
      </c>
      <c r="AU162" s="42">
        <f t="shared" si="82"/>
        <v>0</v>
      </c>
      <c r="AV162" s="318">
        <v>0</v>
      </c>
      <c r="AW162" s="318">
        <v>140</v>
      </c>
      <c r="AX162" s="315"/>
      <c r="AY162" s="636" t="s">
        <v>2089</v>
      </c>
      <c r="AZ162" s="319" t="s">
        <v>199</v>
      </c>
      <c r="BA162" s="319" t="s">
        <v>2041</v>
      </c>
      <c r="BB162" s="318">
        <v>0</v>
      </c>
      <c r="BC162" s="9"/>
      <c r="BD162" s="9"/>
      <c r="BE162" s="50">
        <f t="shared" si="83"/>
        <v>0</v>
      </c>
      <c r="BF162" s="50">
        <f t="shared" si="84"/>
        <v>0</v>
      </c>
      <c r="BG162" s="50">
        <f t="shared" si="85"/>
        <v>0</v>
      </c>
      <c r="BH162" s="50">
        <f t="shared" si="86"/>
        <v>0</v>
      </c>
      <c r="BI162" s="50">
        <f t="shared" si="87"/>
        <v>0</v>
      </c>
      <c r="BJ162" s="50">
        <f t="shared" si="88"/>
        <v>0</v>
      </c>
      <c r="BK162" s="50">
        <f t="shared" si="89"/>
        <v>0</v>
      </c>
      <c r="BL162" s="50">
        <f t="shared" si="90"/>
        <v>0</v>
      </c>
      <c r="BM162" s="50">
        <f t="shared" si="91"/>
        <v>0</v>
      </c>
      <c r="BN162" s="50">
        <f t="shared" si="92"/>
        <v>0</v>
      </c>
      <c r="BO162" s="50">
        <f t="shared" si="93"/>
        <v>0</v>
      </c>
      <c r="BP162" s="50">
        <f t="shared" si="94"/>
        <v>0</v>
      </c>
      <c r="BQ162" s="4" t="str">
        <f t="shared" si="95"/>
        <v>17,59 2025.07.28</v>
      </c>
      <c r="BR162" s="4" t="str">
        <f t="shared" si="96"/>
        <v>17,59 2025.07.28</v>
      </c>
      <c r="BS162" s="4" t="str">
        <f t="shared" si="97"/>
        <v>В</v>
      </c>
      <c r="BT162" s="10">
        <f t="shared" si="98"/>
        <v>0</v>
      </c>
      <c r="BU162" s="42">
        <f t="shared" si="99"/>
        <v>1</v>
      </c>
      <c r="BV162" s="11">
        <f t="shared" si="100"/>
        <v>0</v>
      </c>
      <c r="BW162" s="11">
        <f t="shared" si="101"/>
        <v>0</v>
      </c>
      <c r="BX162" s="11">
        <f t="shared" si="102"/>
        <v>1</v>
      </c>
      <c r="BY162" s="11">
        <f t="shared" si="103"/>
        <v>0</v>
      </c>
      <c r="BZ162" s="11">
        <f t="shared" si="104"/>
        <v>0</v>
      </c>
      <c r="CA162" s="11">
        <f t="shared" si="105"/>
        <v>1</v>
      </c>
      <c r="CB162" s="42">
        <f t="shared" si="106"/>
        <v>0</v>
      </c>
      <c r="CC162" s="11">
        <f t="shared" si="107"/>
        <v>0</v>
      </c>
      <c r="CD162" s="11">
        <f t="shared" si="108"/>
        <v>0</v>
      </c>
      <c r="CE162" s="4"/>
      <c r="CF162" s="50">
        <f t="shared" si="109"/>
        <v>0</v>
      </c>
      <c r="CG162" s="50">
        <f t="shared" si="110"/>
        <v>0</v>
      </c>
      <c r="CH162" s="50">
        <f t="shared" si="111"/>
        <v>0</v>
      </c>
      <c r="CI162" s="50">
        <f t="shared" si="112"/>
        <v>0</v>
      </c>
      <c r="CJ162" s="50">
        <f t="shared" si="113"/>
        <v>0</v>
      </c>
      <c r="CK162" s="50">
        <f t="shared" si="114"/>
        <v>0</v>
      </c>
      <c r="CL162" s="50">
        <f t="shared" si="115"/>
        <v>0</v>
      </c>
      <c r="CM162" s="50">
        <f t="shared" si="116"/>
        <v>0</v>
      </c>
      <c r="CN162" s="50">
        <f t="shared" si="117"/>
        <v>0</v>
      </c>
      <c r="CO162" s="50">
        <f t="shared" si="118"/>
        <v>0</v>
      </c>
      <c r="CP162" s="50">
        <f t="shared" si="119"/>
        <v>0</v>
      </c>
      <c r="CQ162" s="50">
        <f t="shared" si="120"/>
        <v>0</v>
      </c>
      <c r="CR162"/>
    </row>
    <row r="163" spans="2:96" s="452" customFormat="1" ht="15.75" customHeight="1" x14ac:dyDescent="0.15">
      <c r="B163" s="59"/>
      <c r="D163" s="130">
        <v>21</v>
      </c>
      <c r="AA163" s="28" t="s">
        <v>701</v>
      </c>
      <c r="AB163" s="31" t="s">
        <v>1036</v>
      </c>
      <c r="AC163" s="247" t="s">
        <v>1435</v>
      </c>
      <c r="AD163" s="314" t="s">
        <v>110</v>
      </c>
      <c r="AE163" s="315" t="s">
        <v>1846</v>
      </c>
      <c r="AF163" s="316" t="s">
        <v>1495</v>
      </c>
      <c r="AG163" s="248" t="s">
        <v>1847</v>
      </c>
      <c r="AH163" s="248" t="s">
        <v>1847</v>
      </c>
      <c r="AI163" s="248" t="s">
        <v>122</v>
      </c>
      <c r="AJ163" s="317">
        <v>0</v>
      </c>
      <c r="AK163" s="315" t="s">
        <v>1848</v>
      </c>
      <c r="AL163" s="315">
        <v>0</v>
      </c>
      <c r="AM163" s="315">
        <v>0</v>
      </c>
      <c r="AN163" s="42">
        <f t="shared" si="81"/>
        <v>3</v>
      </c>
      <c r="AO163" s="318">
        <v>0</v>
      </c>
      <c r="AP163" s="318">
        <v>0</v>
      </c>
      <c r="AQ163" s="318">
        <v>3</v>
      </c>
      <c r="AR163" s="318">
        <v>0</v>
      </c>
      <c r="AS163" s="318">
        <v>0</v>
      </c>
      <c r="AT163" s="318">
        <v>3</v>
      </c>
      <c r="AU163" s="42">
        <f t="shared" si="82"/>
        <v>0</v>
      </c>
      <c r="AV163" s="318">
        <v>0</v>
      </c>
      <c r="AW163" s="318">
        <v>1164</v>
      </c>
      <c r="AX163" s="315"/>
      <c r="AY163" s="636" t="s">
        <v>2090</v>
      </c>
      <c r="AZ163" s="319" t="s">
        <v>199</v>
      </c>
      <c r="BA163" s="319" t="s">
        <v>2041</v>
      </c>
      <c r="BB163" s="318">
        <v>0</v>
      </c>
      <c r="BC163" s="9"/>
      <c r="BD163" s="9"/>
      <c r="BE163" s="50">
        <f t="shared" si="83"/>
        <v>0</v>
      </c>
      <c r="BF163" s="50">
        <f t="shared" si="84"/>
        <v>0</v>
      </c>
      <c r="BG163" s="50">
        <f t="shared" si="85"/>
        <v>0</v>
      </c>
      <c r="BH163" s="50">
        <f t="shared" si="86"/>
        <v>0</v>
      </c>
      <c r="BI163" s="50">
        <f t="shared" si="87"/>
        <v>0</v>
      </c>
      <c r="BJ163" s="50">
        <f t="shared" si="88"/>
        <v>0</v>
      </c>
      <c r="BK163" s="50">
        <f t="shared" si="89"/>
        <v>0</v>
      </c>
      <c r="BL163" s="50">
        <f t="shared" si="90"/>
        <v>0</v>
      </c>
      <c r="BM163" s="50">
        <f t="shared" si="91"/>
        <v>0</v>
      </c>
      <c r="BN163" s="50">
        <f t="shared" si="92"/>
        <v>0</v>
      </c>
      <c r="BO163" s="50">
        <f t="shared" si="93"/>
        <v>0</v>
      </c>
      <c r="BP163" s="50">
        <f t="shared" si="94"/>
        <v>0</v>
      </c>
      <c r="BQ163" s="4" t="str">
        <f t="shared" si="95"/>
        <v>18,13 2025.07.28</v>
      </c>
      <c r="BR163" s="4" t="str">
        <f t="shared" si="96"/>
        <v>18,13 2025.07.28</v>
      </c>
      <c r="BS163" s="4" t="str">
        <f t="shared" si="97"/>
        <v>В</v>
      </c>
      <c r="BT163" s="10">
        <f t="shared" si="98"/>
        <v>0</v>
      </c>
      <c r="BU163" s="42">
        <f t="shared" si="99"/>
        <v>3</v>
      </c>
      <c r="BV163" s="11">
        <f t="shared" si="100"/>
        <v>0</v>
      </c>
      <c r="BW163" s="11">
        <f t="shared" si="101"/>
        <v>0</v>
      </c>
      <c r="BX163" s="11">
        <f t="shared" si="102"/>
        <v>3</v>
      </c>
      <c r="BY163" s="11">
        <f t="shared" si="103"/>
        <v>0</v>
      </c>
      <c r="BZ163" s="11">
        <f t="shared" si="104"/>
        <v>0</v>
      </c>
      <c r="CA163" s="11">
        <f t="shared" si="105"/>
        <v>3</v>
      </c>
      <c r="CB163" s="42">
        <f t="shared" si="106"/>
        <v>0</v>
      </c>
      <c r="CC163" s="11">
        <f t="shared" si="107"/>
        <v>0</v>
      </c>
      <c r="CD163" s="11">
        <f t="shared" si="108"/>
        <v>0</v>
      </c>
      <c r="CE163" s="4"/>
      <c r="CF163" s="50">
        <f t="shared" si="109"/>
        <v>0</v>
      </c>
      <c r="CG163" s="50">
        <f t="shared" si="110"/>
        <v>0</v>
      </c>
      <c r="CH163" s="50">
        <f t="shared" si="111"/>
        <v>0</v>
      </c>
      <c r="CI163" s="50">
        <f t="shared" si="112"/>
        <v>0</v>
      </c>
      <c r="CJ163" s="50">
        <f t="shared" si="113"/>
        <v>0</v>
      </c>
      <c r="CK163" s="50">
        <f t="shared" si="114"/>
        <v>0</v>
      </c>
      <c r="CL163" s="50">
        <f t="shared" si="115"/>
        <v>0</v>
      </c>
      <c r="CM163" s="50">
        <f t="shared" si="116"/>
        <v>0</v>
      </c>
      <c r="CN163" s="50">
        <f t="shared" si="117"/>
        <v>0</v>
      </c>
      <c r="CO163" s="50">
        <f t="shared" si="118"/>
        <v>0</v>
      </c>
      <c r="CP163" s="50">
        <f t="shared" si="119"/>
        <v>0</v>
      </c>
      <c r="CQ163" s="50">
        <f t="shared" si="120"/>
        <v>0</v>
      </c>
      <c r="CR163"/>
    </row>
    <row r="164" spans="2:96" s="453" customFormat="1" ht="15.75" customHeight="1" x14ac:dyDescent="0.15">
      <c r="B164" s="59"/>
      <c r="D164" s="130">
        <v>21</v>
      </c>
      <c r="AA164" s="28" t="s">
        <v>701</v>
      </c>
      <c r="AB164" s="31" t="s">
        <v>1037</v>
      </c>
      <c r="AC164" s="247" t="s">
        <v>1440</v>
      </c>
      <c r="AD164" s="314" t="s">
        <v>110</v>
      </c>
      <c r="AE164" s="315" t="s">
        <v>1849</v>
      </c>
      <c r="AF164" s="316" t="s">
        <v>1432</v>
      </c>
      <c r="AG164" s="248" t="s">
        <v>1850</v>
      </c>
      <c r="AH164" s="248" t="s">
        <v>1851</v>
      </c>
      <c r="AI164" s="248" t="s">
        <v>100</v>
      </c>
      <c r="AJ164" s="317">
        <v>1.3500000000349199</v>
      </c>
      <c r="AK164" s="315" t="s">
        <v>1852</v>
      </c>
      <c r="AL164" s="315">
        <v>0</v>
      </c>
      <c r="AM164" s="315">
        <v>0</v>
      </c>
      <c r="AN164" s="42">
        <f t="shared" si="81"/>
        <v>5</v>
      </c>
      <c r="AO164" s="318">
        <v>0</v>
      </c>
      <c r="AP164" s="318">
        <v>0</v>
      </c>
      <c r="AQ164" s="318">
        <v>5</v>
      </c>
      <c r="AR164" s="318">
        <v>0</v>
      </c>
      <c r="AS164" s="318">
        <v>0</v>
      </c>
      <c r="AT164" s="318">
        <v>5</v>
      </c>
      <c r="AU164" s="42">
        <f t="shared" si="82"/>
        <v>0</v>
      </c>
      <c r="AV164" s="318">
        <v>0</v>
      </c>
      <c r="AW164" s="318">
        <v>270</v>
      </c>
      <c r="AX164" s="315"/>
      <c r="AY164" s="636"/>
      <c r="AZ164" s="319"/>
      <c r="BA164" s="319"/>
      <c r="BB164" s="318">
        <v>1</v>
      </c>
      <c r="BC164" s="9"/>
      <c r="BD164" s="9"/>
      <c r="BE164" s="50">
        <f t="shared" si="83"/>
        <v>0</v>
      </c>
      <c r="BF164" s="50">
        <f t="shared" si="84"/>
        <v>0</v>
      </c>
      <c r="BG164" s="50">
        <f t="shared" si="85"/>
        <v>6.7500000001745999</v>
      </c>
      <c r="BH164" s="50">
        <f t="shared" si="86"/>
        <v>5</v>
      </c>
      <c r="BI164" s="50">
        <f t="shared" si="87"/>
        <v>0</v>
      </c>
      <c r="BJ164" s="50">
        <f t="shared" si="88"/>
        <v>0</v>
      </c>
      <c r="BK164" s="50">
        <f t="shared" si="89"/>
        <v>0</v>
      </c>
      <c r="BL164" s="50">
        <f t="shared" si="90"/>
        <v>0</v>
      </c>
      <c r="BM164" s="50">
        <f t="shared" si="91"/>
        <v>6.7500000001745999</v>
      </c>
      <c r="BN164" s="50">
        <f t="shared" si="92"/>
        <v>5</v>
      </c>
      <c r="BO164" s="50">
        <f t="shared" si="93"/>
        <v>0</v>
      </c>
      <c r="BP164" s="50">
        <f t="shared" si="94"/>
        <v>0</v>
      </c>
      <c r="BQ164" s="4" t="str">
        <f t="shared" si="95"/>
        <v>10,49 2025.07.30</v>
      </c>
      <c r="BR164" s="4" t="str">
        <f t="shared" si="96"/>
        <v>12,10 2025.07.30</v>
      </c>
      <c r="BS164" s="4" t="str">
        <f t="shared" si="97"/>
        <v>П</v>
      </c>
      <c r="BT164" s="10">
        <f t="shared" si="98"/>
        <v>1.3500000000349199</v>
      </c>
      <c r="BU164" s="42">
        <f t="shared" si="99"/>
        <v>5</v>
      </c>
      <c r="BV164" s="11">
        <f t="shared" si="100"/>
        <v>0</v>
      </c>
      <c r="BW164" s="11">
        <f t="shared" si="101"/>
        <v>0</v>
      </c>
      <c r="BX164" s="11">
        <f t="shared" si="102"/>
        <v>5</v>
      </c>
      <c r="BY164" s="11">
        <f t="shared" si="103"/>
        <v>0</v>
      </c>
      <c r="BZ164" s="11">
        <f t="shared" si="104"/>
        <v>0</v>
      </c>
      <c r="CA164" s="11">
        <f t="shared" si="105"/>
        <v>5</v>
      </c>
      <c r="CB164" s="42">
        <f t="shared" si="106"/>
        <v>0</v>
      </c>
      <c r="CC164" s="11">
        <f t="shared" si="107"/>
        <v>0</v>
      </c>
      <c r="CD164" s="11">
        <f t="shared" si="108"/>
        <v>1</v>
      </c>
      <c r="CE164" s="4"/>
      <c r="CF164" s="50">
        <f t="shared" si="109"/>
        <v>0</v>
      </c>
      <c r="CG164" s="50">
        <f t="shared" si="110"/>
        <v>0</v>
      </c>
      <c r="CH164" s="50">
        <f t="shared" si="111"/>
        <v>6.7500000001745999</v>
      </c>
      <c r="CI164" s="50">
        <f t="shared" si="112"/>
        <v>5</v>
      </c>
      <c r="CJ164" s="50">
        <f t="shared" si="113"/>
        <v>0</v>
      </c>
      <c r="CK164" s="50">
        <f t="shared" si="114"/>
        <v>0</v>
      </c>
      <c r="CL164" s="50">
        <f t="shared" si="115"/>
        <v>0</v>
      </c>
      <c r="CM164" s="50">
        <f t="shared" si="116"/>
        <v>0</v>
      </c>
      <c r="CN164" s="50">
        <f t="shared" si="117"/>
        <v>6.7500000001745999</v>
      </c>
      <c r="CO164" s="50">
        <f t="shared" si="118"/>
        <v>5</v>
      </c>
      <c r="CP164" s="50">
        <f t="shared" si="119"/>
        <v>0</v>
      </c>
      <c r="CQ164" s="50">
        <f t="shared" si="120"/>
        <v>0</v>
      </c>
      <c r="CR164"/>
    </row>
    <row r="165" spans="2:96" s="454" customFormat="1" ht="15.75" customHeight="1" x14ac:dyDescent="0.15">
      <c r="B165" s="59"/>
      <c r="D165" s="130">
        <v>21</v>
      </c>
      <c r="AA165" s="28" t="s">
        <v>701</v>
      </c>
      <c r="AB165" s="31" t="s">
        <v>1038</v>
      </c>
      <c r="AC165" s="247" t="s">
        <v>1445</v>
      </c>
      <c r="AD165" s="314" t="s">
        <v>110</v>
      </c>
      <c r="AE165" s="315" t="s">
        <v>1853</v>
      </c>
      <c r="AF165" s="316" t="s">
        <v>1495</v>
      </c>
      <c r="AG165" s="248" t="s">
        <v>1854</v>
      </c>
      <c r="AH165" s="248" t="s">
        <v>1854</v>
      </c>
      <c r="AI165" s="248" t="s">
        <v>122</v>
      </c>
      <c r="AJ165" s="317">
        <v>0</v>
      </c>
      <c r="AK165" s="315" t="s">
        <v>1853</v>
      </c>
      <c r="AL165" s="315">
        <v>0</v>
      </c>
      <c r="AM165" s="315">
        <v>0</v>
      </c>
      <c r="AN165" s="42">
        <f t="shared" si="81"/>
        <v>4</v>
      </c>
      <c r="AO165" s="318">
        <v>0</v>
      </c>
      <c r="AP165" s="318">
        <v>0</v>
      </c>
      <c r="AQ165" s="318">
        <v>4</v>
      </c>
      <c r="AR165" s="318">
        <v>0</v>
      </c>
      <c r="AS165" s="318">
        <v>0</v>
      </c>
      <c r="AT165" s="318">
        <v>4</v>
      </c>
      <c r="AU165" s="42">
        <f t="shared" si="82"/>
        <v>0</v>
      </c>
      <c r="AV165" s="318">
        <v>0</v>
      </c>
      <c r="AW165" s="318">
        <v>3744</v>
      </c>
      <c r="AX165" s="315"/>
      <c r="AY165" s="636" t="s">
        <v>2091</v>
      </c>
      <c r="AZ165" s="319" t="s">
        <v>199</v>
      </c>
      <c r="BA165" s="319" t="s">
        <v>2041</v>
      </c>
      <c r="BB165" s="318">
        <v>0</v>
      </c>
      <c r="BC165" s="9"/>
      <c r="BD165" s="9"/>
      <c r="BE165" s="50">
        <f t="shared" si="83"/>
        <v>0</v>
      </c>
      <c r="BF165" s="50">
        <f t="shared" si="84"/>
        <v>0</v>
      </c>
      <c r="BG165" s="50">
        <f t="shared" si="85"/>
        <v>0</v>
      </c>
      <c r="BH165" s="50">
        <f t="shared" si="86"/>
        <v>0</v>
      </c>
      <c r="BI165" s="50">
        <f t="shared" si="87"/>
        <v>0</v>
      </c>
      <c r="BJ165" s="50">
        <f t="shared" si="88"/>
        <v>0</v>
      </c>
      <c r="BK165" s="50">
        <f t="shared" si="89"/>
        <v>0</v>
      </c>
      <c r="BL165" s="50">
        <f t="shared" si="90"/>
        <v>0</v>
      </c>
      <c r="BM165" s="50">
        <f t="shared" si="91"/>
        <v>0</v>
      </c>
      <c r="BN165" s="50">
        <f t="shared" si="92"/>
        <v>0</v>
      </c>
      <c r="BO165" s="50">
        <f t="shared" si="93"/>
        <v>0</v>
      </c>
      <c r="BP165" s="50">
        <f t="shared" si="94"/>
        <v>0</v>
      </c>
      <c r="BQ165" s="4" t="str">
        <f t="shared" si="95"/>
        <v>16,37 2025.07.30</v>
      </c>
      <c r="BR165" s="4" t="str">
        <f t="shared" si="96"/>
        <v>16,37 2025.07.30</v>
      </c>
      <c r="BS165" s="4" t="str">
        <f t="shared" si="97"/>
        <v>В</v>
      </c>
      <c r="BT165" s="10">
        <f t="shared" si="98"/>
        <v>0</v>
      </c>
      <c r="BU165" s="42">
        <f t="shared" si="99"/>
        <v>4</v>
      </c>
      <c r="BV165" s="11">
        <f t="shared" si="100"/>
        <v>0</v>
      </c>
      <c r="BW165" s="11">
        <f t="shared" si="101"/>
        <v>0</v>
      </c>
      <c r="BX165" s="11">
        <f t="shared" si="102"/>
        <v>4</v>
      </c>
      <c r="BY165" s="11">
        <f t="shared" si="103"/>
        <v>0</v>
      </c>
      <c r="BZ165" s="11">
        <f t="shared" si="104"/>
        <v>0</v>
      </c>
      <c r="CA165" s="11">
        <f t="shared" si="105"/>
        <v>4</v>
      </c>
      <c r="CB165" s="42">
        <f t="shared" si="106"/>
        <v>0</v>
      </c>
      <c r="CC165" s="11">
        <f t="shared" si="107"/>
        <v>0</v>
      </c>
      <c r="CD165" s="11">
        <f t="shared" si="108"/>
        <v>0</v>
      </c>
      <c r="CE165" s="4"/>
      <c r="CF165" s="50">
        <f t="shared" si="109"/>
        <v>0</v>
      </c>
      <c r="CG165" s="50">
        <f t="shared" si="110"/>
        <v>0</v>
      </c>
      <c r="CH165" s="50">
        <f t="shared" si="111"/>
        <v>0</v>
      </c>
      <c r="CI165" s="50">
        <f t="shared" si="112"/>
        <v>0</v>
      </c>
      <c r="CJ165" s="50">
        <f t="shared" si="113"/>
        <v>0</v>
      </c>
      <c r="CK165" s="50">
        <f t="shared" si="114"/>
        <v>0</v>
      </c>
      <c r="CL165" s="50">
        <f t="shared" si="115"/>
        <v>0</v>
      </c>
      <c r="CM165" s="50">
        <f t="shared" si="116"/>
        <v>0</v>
      </c>
      <c r="CN165" s="50">
        <f t="shared" si="117"/>
        <v>0</v>
      </c>
      <c r="CO165" s="50">
        <f t="shared" si="118"/>
        <v>0</v>
      </c>
      <c r="CP165" s="50">
        <f t="shared" si="119"/>
        <v>0</v>
      </c>
      <c r="CQ165" s="50">
        <f t="shared" si="120"/>
        <v>0</v>
      </c>
      <c r="CR165"/>
    </row>
    <row r="166" spans="2:96" s="455" customFormat="1" ht="15.75" customHeight="1" x14ac:dyDescent="0.15">
      <c r="B166" s="59"/>
      <c r="D166" s="130">
        <v>21</v>
      </c>
      <c r="AA166" s="28" t="s">
        <v>701</v>
      </c>
      <c r="AB166" s="31" t="s">
        <v>1039</v>
      </c>
      <c r="AC166" s="247" t="s">
        <v>1440</v>
      </c>
      <c r="AD166" s="314" t="s">
        <v>110</v>
      </c>
      <c r="AE166" s="315" t="s">
        <v>1807</v>
      </c>
      <c r="AF166" s="316" t="s">
        <v>1432</v>
      </c>
      <c r="AG166" s="248" t="s">
        <v>1855</v>
      </c>
      <c r="AH166" s="248" t="s">
        <v>1855</v>
      </c>
      <c r="AI166" s="248" t="s">
        <v>122</v>
      </c>
      <c r="AJ166" s="317">
        <v>0</v>
      </c>
      <c r="AK166" s="315" t="s">
        <v>1810</v>
      </c>
      <c r="AL166" s="315">
        <v>0</v>
      </c>
      <c r="AM166" s="315">
        <v>1</v>
      </c>
      <c r="AN166" s="42">
        <f t="shared" si="81"/>
        <v>8</v>
      </c>
      <c r="AO166" s="318">
        <v>0</v>
      </c>
      <c r="AP166" s="318">
        <v>1</v>
      </c>
      <c r="AQ166" s="318">
        <v>7</v>
      </c>
      <c r="AR166" s="318">
        <v>0</v>
      </c>
      <c r="AS166" s="318">
        <v>0</v>
      </c>
      <c r="AT166" s="318">
        <v>8</v>
      </c>
      <c r="AU166" s="42">
        <f t="shared" si="82"/>
        <v>0</v>
      </c>
      <c r="AV166" s="318">
        <v>0</v>
      </c>
      <c r="AW166" s="318">
        <v>700</v>
      </c>
      <c r="AX166" s="315"/>
      <c r="AY166" s="636" t="s">
        <v>2092</v>
      </c>
      <c r="AZ166" s="319" t="s">
        <v>199</v>
      </c>
      <c r="BA166" s="319" t="s">
        <v>2041</v>
      </c>
      <c r="BB166" s="318">
        <v>0</v>
      </c>
      <c r="BC166" s="9"/>
      <c r="BD166" s="9"/>
      <c r="BE166" s="50">
        <f t="shared" si="83"/>
        <v>0</v>
      </c>
      <c r="BF166" s="50">
        <f t="shared" si="84"/>
        <v>0</v>
      </c>
      <c r="BG166" s="50">
        <f t="shared" si="85"/>
        <v>0</v>
      </c>
      <c r="BH166" s="50">
        <f t="shared" si="86"/>
        <v>0</v>
      </c>
      <c r="BI166" s="50">
        <f t="shared" si="87"/>
        <v>0</v>
      </c>
      <c r="BJ166" s="50">
        <f t="shared" si="88"/>
        <v>0</v>
      </c>
      <c r="BK166" s="50">
        <f t="shared" si="89"/>
        <v>0</v>
      </c>
      <c r="BL166" s="50">
        <f t="shared" si="90"/>
        <v>0</v>
      </c>
      <c r="BM166" s="50">
        <f t="shared" si="91"/>
        <v>0</v>
      </c>
      <c r="BN166" s="50">
        <f t="shared" si="92"/>
        <v>0</v>
      </c>
      <c r="BO166" s="50">
        <f t="shared" si="93"/>
        <v>0</v>
      </c>
      <c r="BP166" s="50">
        <f t="shared" si="94"/>
        <v>0</v>
      </c>
      <c r="BQ166" s="4" t="str">
        <f t="shared" si="95"/>
        <v>19,48 2025.07.30</v>
      </c>
      <c r="BR166" s="4" t="str">
        <f t="shared" si="96"/>
        <v>19,48 2025.07.30</v>
      </c>
      <c r="BS166" s="4" t="str">
        <f t="shared" si="97"/>
        <v>В</v>
      </c>
      <c r="BT166" s="10">
        <f t="shared" si="98"/>
        <v>0</v>
      </c>
      <c r="BU166" s="42">
        <f t="shared" si="99"/>
        <v>8</v>
      </c>
      <c r="BV166" s="11">
        <f t="shared" si="100"/>
        <v>0</v>
      </c>
      <c r="BW166" s="11">
        <f t="shared" si="101"/>
        <v>1</v>
      </c>
      <c r="BX166" s="11">
        <f t="shared" si="102"/>
        <v>7</v>
      </c>
      <c r="BY166" s="11">
        <f t="shared" si="103"/>
        <v>0</v>
      </c>
      <c r="BZ166" s="11">
        <f t="shared" si="104"/>
        <v>0</v>
      </c>
      <c r="CA166" s="11">
        <f t="shared" si="105"/>
        <v>8</v>
      </c>
      <c r="CB166" s="42">
        <f t="shared" si="106"/>
        <v>0</v>
      </c>
      <c r="CC166" s="11">
        <f t="shared" si="107"/>
        <v>0</v>
      </c>
      <c r="CD166" s="11">
        <f t="shared" si="108"/>
        <v>0</v>
      </c>
      <c r="CE166" s="4"/>
      <c r="CF166" s="50">
        <f t="shared" si="109"/>
        <v>0</v>
      </c>
      <c r="CG166" s="50">
        <f t="shared" si="110"/>
        <v>0</v>
      </c>
      <c r="CH166" s="50">
        <f t="shared" si="111"/>
        <v>0</v>
      </c>
      <c r="CI166" s="50">
        <f t="shared" si="112"/>
        <v>0</v>
      </c>
      <c r="CJ166" s="50">
        <f t="shared" si="113"/>
        <v>0</v>
      </c>
      <c r="CK166" s="50">
        <f t="shared" si="114"/>
        <v>0</v>
      </c>
      <c r="CL166" s="50">
        <f t="shared" si="115"/>
        <v>0</v>
      </c>
      <c r="CM166" s="50">
        <f t="shared" si="116"/>
        <v>0</v>
      </c>
      <c r="CN166" s="50">
        <f t="shared" si="117"/>
        <v>0</v>
      </c>
      <c r="CO166" s="50">
        <f t="shared" si="118"/>
        <v>0</v>
      </c>
      <c r="CP166" s="50">
        <f t="shared" si="119"/>
        <v>0</v>
      </c>
      <c r="CQ166" s="50">
        <f t="shared" si="120"/>
        <v>0</v>
      </c>
      <c r="CR166"/>
    </row>
    <row r="167" spans="2:96" s="456" customFormat="1" ht="15.75" customHeight="1" x14ac:dyDescent="0.15">
      <c r="B167" s="59"/>
      <c r="D167" s="130">
        <v>21</v>
      </c>
      <c r="AA167" s="28" t="s">
        <v>701</v>
      </c>
      <c r="AB167" s="31" t="s">
        <v>1040</v>
      </c>
      <c r="AC167" s="247" t="s">
        <v>1435</v>
      </c>
      <c r="AD167" s="314" t="s">
        <v>110</v>
      </c>
      <c r="AE167" s="315" t="s">
        <v>1834</v>
      </c>
      <c r="AF167" s="316" t="s">
        <v>1432</v>
      </c>
      <c r="AG167" s="248" t="s">
        <v>1856</v>
      </c>
      <c r="AH167" s="248" t="s">
        <v>1857</v>
      </c>
      <c r="AI167" s="248" t="s">
        <v>100</v>
      </c>
      <c r="AJ167" s="317">
        <v>2.0833333333139299</v>
      </c>
      <c r="AK167" s="315" t="s">
        <v>1836</v>
      </c>
      <c r="AL167" s="315">
        <v>0</v>
      </c>
      <c r="AM167" s="315">
        <v>0</v>
      </c>
      <c r="AN167" s="42">
        <f t="shared" si="81"/>
        <v>3</v>
      </c>
      <c r="AO167" s="318">
        <v>0</v>
      </c>
      <c r="AP167" s="318">
        <v>0</v>
      </c>
      <c r="AQ167" s="318">
        <v>3</v>
      </c>
      <c r="AR167" s="318">
        <v>0</v>
      </c>
      <c r="AS167" s="318">
        <v>0</v>
      </c>
      <c r="AT167" s="318">
        <v>3</v>
      </c>
      <c r="AU167" s="42">
        <f t="shared" si="82"/>
        <v>0</v>
      </c>
      <c r="AV167" s="318">
        <v>0</v>
      </c>
      <c r="AW167" s="318">
        <v>280</v>
      </c>
      <c r="AX167" s="315"/>
      <c r="AY167" s="636"/>
      <c r="AZ167" s="319"/>
      <c r="BA167" s="319"/>
      <c r="BB167" s="318">
        <v>1</v>
      </c>
      <c r="BC167" s="9"/>
      <c r="BD167" s="9"/>
      <c r="BE167" s="50">
        <f t="shared" si="83"/>
        <v>0</v>
      </c>
      <c r="BF167" s="50">
        <f t="shared" si="84"/>
        <v>0</v>
      </c>
      <c r="BG167" s="50">
        <f t="shared" si="85"/>
        <v>6.2499999999417897</v>
      </c>
      <c r="BH167" s="50">
        <f t="shared" si="86"/>
        <v>3</v>
      </c>
      <c r="BI167" s="50">
        <f t="shared" si="87"/>
        <v>0</v>
      </c>
      <c r="BJ167" s="50">
        <f t="shared" si="88"/>
        <v>0</v>
      </c>
      <c r="BK167" s="50">
        <f t="shared" si="89"/>
        <v>0</v>
      </c>
      <c r="BL167" s="50">
        <f t="shared" si="90"/>
        <v>0</v>
      </c>
      <c r="BM167" s="50">
        <f t="shared" si="91"/>
        <v>6.2499999999417897</v>
      </c>
      <c r="BN167" s="50">
        <f t="shared" si="92"/>
        <v>3</v>
      </c>
      <c r="BO167" s="50">
        <f t="shared" si="93"/>
        <v>0</v>
      </c>
      <c r="BP167" s="50">
        <f t="shared" si="94"/>
        <v>0</v>
      </c>
      <c r="BQ167" s="4" t="str">
        <f t="shared" si="95"/>
        <v>16,47 2025.08.02</v>
      </c>
      <c r="BR167" s="4" t="str">
        <f t="shared" si="96"/>
        <v>18,52 2025.08.02</v>
      </c>
      <c r="BS167" s="4" t="str">
        <f t="shared" si="97"/>
        <v>П</v>
      </c>
      <c r="BT167" s="10">
        <f t="shared" si="98"/>
        <v>2.0833333333139299</v>
      </c>
      <c r="BU167" s="42">
        <f t="shared" si="99"/>
        <v>3</v>
      </c>
      <c r="BV167" s="11">
        <f t="shared" si="100"/>
        <v>0</v>
      </c>
      <c r="BW167" s="11">
        <f t="shared" si="101"/>
        <v>0</v>
      </c>
      <c r="BX167" s="11">
        <f t="shared" si="102"/>
        <v>3</v>
      </c>
      <c r="BY167" s="11">
        <f t="shared" si="103"/>
        <v>0</v>
      </c>
      <c r="BZ167" s="11">
        <f t="shared" si="104"/>
        <v>0</v>
      </c>
      <c r="CA167" s="11">
        <f t="shared" si="105"/>
        <v>3</v>
      </c>
      <c r="CB167" s="42">
        <f t="shared" si="106"/>
        <v>0</v>
      </c>
      <c r="CC167" s="11">
        <f t="shared" si="107"/>
        <v>0</v>
      </c>
      <c r="CD167" s="11">
        <f t="shared" si="108"/>
        <v>1</v>
      </c>
      <c r="CE167" s="4"/>
      <c r="CF167" s="50">
        <f t="shared" si="109"/>
        <v>0</v>
      </c>
      <c r="CG167" s="50">
        <f t="shared" si="110"/>
        <v>0</v>
      </c>
      <c r="CH167" s="50">
        <f t="shared" si="111"/>
        <v>6.2499999999417897</v>
      </c>
      <c r="CI167" s="50">
        <f t="shared" si="112"/>
        <v>3</v>
      </c>
      <c r="CJ167" s="50">
        <f t="shared" si="113"/>
        <v>0</v>
      </c>
      <c r="CK167" s="50">
        <f t="shared" si="114"/>
        <v>0</v>
      </c>
      <c r="CL167" s="50">
        <f t="shared" si="115"/>
        <v>0</v>
      </c>
      <c r="CM167" s="50">
        <f t="shared" si="116"/>
        <v>0</v>
      </c>
      <c r="CN167" s="50">
        <f t="shared" si="117"/>
        <v>6.2499999999417897</v>
      </c>
      <c r="CO167" s="50">
        <f t="shared" si="118"/>
        <v>3</v>
      </c>
      <c r="CP167" s="50">
        <f t="shared" si="119"/>
        <v>0</v>
      </c>
      <c r="CQ167" s="50">
        <f t="shared" si="120"/>
        <v>0</v>
      </c>
      <c r="CR167"/>
    </row>
    <row r="168" spans="2:96" s="457" customFormat="1" ht="15.75" customHeight="1" x14ac:dyDescent="0.15">
      <c r="B168" s="59"/>
      <c r="D168" s="130">
        <v>21</v>
      </c>
      <c r="AA168" s="28" t="s">
        <v>701</v>
      </c>
      <c r="AB168" s="31" t="s">
        <v>1041</v>
      </c>
      <c r="AC168" s="247" t="s">
        <v>1445</v>
      </c>
      <c r="AD168" s="314" t="s">
        <v>110</v>
      </c>
      <c r="AE168" s="315" t="s">
        <v>1636</v>
      </c>
      <c r="AF168" s="316" t="s">
        <v>1432</v>
      </c>
      <c r="AG168" s="248" t="s">
        <v>1858</v>
      </c>
      <c r="AH168" s="248" t="s">
        <v>1859</v>
      </c>
      <c r="AI168" s="248" t="s">
        <v>100</v>
      </c>
      <c r="AJ168" s="317">
        <v>2.6666666668024801</v>
      </c>
      <c r="AK168" s="315" t="s">
        <v>1639</v>
      </c>
      <c r="AL168" s="315">
        <v>0</v>
      </c>
      <c r="AM168" s="315">
        <v>0</v>
      </c>
      <c r="AN168" s="42">
        <f t="shared" si="81"/>
        <v>1</v>
      </c>
      <c r="AO168" s="318">
        <v>0</v>
      </c>
      <c r="AP168" s="318">
        <v>0</v>
      </c>
      <c r="AQ168" s="318">
        <v>1</v>
      </c>
      <c r="AR168" s="318">
        <v>0</v>
      </c>
      <c r="AS168" s="318">
        <v>0</v>
      </c>
      <c r="AT168" s="318">
        <v>1</v>
      </c>
      <c r="AU168" s="42">
        <f t="shared" si="82"/>
        <v>0</v>
      </c>
      <c r="AV168" s="318">
        <v>0</v>
      </c>
      <c r="AW168" s="318">
        <v>740</v>
      </c>
      <c r="AX168" s="315"/>
      <c r="AY168" s="636"/>
      <c r="AZ168" s="319"/>
      <c r="BA168" s="319"/>
      <c r="BB168" s="318">
        <v>1</v>
      </c>
      <c r="BC168" s="9"/>
      <c r="BD168" s="9"/>
      <c r="BE168" s="50">
        <f t="shared" si="83"/>
        <v>0</v>
      </c>
      <c r="BF168" s="50">
        <f t="shared" si="84"/>
        <v>0</v>
      </c>
      <c r="BG168" s="50">
        <f t="shared" si="85"/>
        <v>2.6666666668024801</v>
      </c>
      <c r="BH168" s="50">
        <f t="shared" si="86"/>
        <v>1</v>
      </c>
      <c r="BI168" s="50">
        <f t="shared" si="87"/>
        <v>0</v>
      </c>
      <c r="BJ168" s="50">
        <f t="shared" si="88"/>
        <v>0</v>
      </c>
      <c r="BK168" s="50">
        <f t="shared" si="89"/>
        <v>0</v>
      </c>
      <c r="BL168" s="50">
        <f t="shared" si="90"/>
        <v>0</v>
      </c>
      <c r="BM168" s="50">
        <f t="shared" si="91"/>
        <v>2.6666666668024801</v>
      </c>
      <c r="BN168" s="50">
        <f t="shared" si="92"/>
        <v>1</v>
      </c>
      <c r="BO168" s="50">
        <f t="shared" si="93"/>
        <v>0</v>
      </c>
      <c r="BP168" s="50">
        <f t="shared" si="94"/>
        <v>0</v>
      </c>
      <c r="BQ168" s="4" t="str">
        <f t="shared" si="95"/>
        <v>15,15 2025.08.03</v>
      </c>
      <c r="BR168" s="4" t="str">
        <f t="shared" si="96"/>
        <v>17,55 2025.08.03</v>
      </c>
      <c r="BS168" s="4" t="str">
        <f t="shared" si="97"/>
        <v>П</v>
      </c>
      <c r="BT168" s="10">
        <f t="shared" si="98"/>
        <v>2.6666666668024801</v>
      </c>
      <c r="BU168" s="42">
        <f t="shared" si="99"/>
        <v>1</v>
      </c>
      <c r="BV168" s="11">
        <f t="shared" si="100"/>
        <v>0</v>
      </c>
      <c r="BW168" s="11">
        <f t="shared" si="101"/>
        <v>0</v>
      </c>
      <c r="BX168" s="11">
        <f t="shared" si="102"/>
        <v>1</v>
      </c>
      <c r="BY168" s="11">
        <f t="shared" si="103"/>
        <v>0</v>
      </c>
      <c r="BZ168" s="11">
        <f t="shared" si="104"/>
        <v>0</v>
      </c>
      <c r="CA168" s="11">
        <f t="shared" si="105"/>
        <v>1</v>
      </c>
      <c r="CB168" s="42">
        <f t="shared" si="106"/>
        <v>0</v>
      </c>
      <c r="CC168" s="11">
        <f t="shared" si="107"/>
        <v>0</v>
      </c>
      <c r="CD168" s="11">
        <f t="shared" si="108"/>
        <v>1</v>
      </c>
      <c r="CE168" s="4"/>
      <c r="CF168" s="50">
        <f t="shared" si="109"/>
        <v>0</v>
      </c>
      <c r="CG168" s="50">
        <f t="shared" si="110"/>
        <v>0</v>
      </c>
      <c r="CH168" s="50">
        <f t="shared" si="111"/>
        <v>2.6666666668024801</v>
      </c>
      <c r="CI168" s="50">
        <f t="shared" si="112"/>
        <v>1</v>
      </c>
      <c r="CJ168" s="50">
        <f t="shared" si="113"/>
        <v>0</v>
      </c>
      <c r="CK168" s="50">
        <f t="shared" si="114"/>
        <v>0</v>
      </c>
      <c r="CL168" s="50">
        <f t="shared" si="115"/>
        <v>0</v>
      </c>
      <c r="CM168" s="50">
        <f t="shared" si="116"/>
        <v>0</v>
      </c>
      <c r="CN168" s="50">
        <f t="shared" si="117"/>
        <v>2.6666666668024801</v>
      </c>
      <c r="CO168" s="50">
        <f t="shared" si="118"/>
        <v>1</v>
      </c>
      <c r="CP168" s="50">
        <f t="shared" si="119"/>
        <v>0</v>
      </c>
      <c r="CQ168" s="50">
        <f t="shared" si="120"/>
        <v>0</v>
      </c>
      <c r="CR168"/>
    </row>
    <row r="169" spans="2:96" s="458" customFormat="1" ht="15.75" customHeight="1" x14ac:dyDescent="0.15">
      <c r="B169" s="59"/>
      <c r="D169" s="130">
        <v>21</v>
      </c>
      <c r="AA169" s="28" t="s">
        <v>701</v>
      </c>
      <c r="AB169" s="31" t="s">
        <v>1042</v>
      </c>
      <c r="AC169" s="247" t="s">
        <v>1445</v>
      </c>
      <c r="AD169" s="314" t="s">
        <v>110</v>
      </c>
      <c r="AE169" s="315" t="s">
        <v>1787</v>
      </c>
      <c r="AF169" s="316" t="s">
        <v>1432</v>
      </c>
      <c r="AG169" s="248" t="s">
        <v>1860</v>
      </c>
      <c r="AH169" s="248" t="s">
        <v>1861</v>
      </c>
      <c r="AI169" s="248" t="s">
        <v>100</v>
      </c>
      <c r="AJ169" s="317">
        <v>2.4166666665114498</v>
      </c>
      <c r="AK169" s="315" t="s">
        <v>1790</v>
      </c>
      <c r="AL169" s="315">
        <v>0</v>
      </c>
      <c r="AM169" s="315">
        <v>0</v>
      </c>
      <c r="AN169" s="42">
        <f t="shared" si="81"/>
        <v>1</v>
      </c>
      <c r="AO169" s="318">
        <v>0</v>
      </c>
      <c r="AP169" s="318">
        <v>0</v>
      </c>
      <c r="AQ169" s="318">
        <v>1</v>
      </c>
      <c r="AR169" s="318">
        <v>0</v>
      </c>
      <c r="AS169" s="318">
        <v>0</v>
      </c>
      <c r="AT169" s="318">
        <v>1</v>
      </c>
      <c r="AU169" s="42">
        <f t="shared" si="82"/>
        <v>0</v>
      </c>
      <c r="AV169" s="318">
        <v>0</v>
      </c>
      <c r="AW169" s="318">
        <v>460</v>
      </c>
      <c r="AX169" s="315"/>
      <c r="AY169" s="636"/>
      <c r="AZ169" s="319"/>
      <c r="BA169" s="319"/>
      <c r="BB169" s="318">
        <v>1</v>
      </c>
      <c r="BC169" s="9"/>
      <c r="BD169" s="9"/>
      <c r="BE169" s="50">
        <f t="shared" si="83"/>
        <v>0</v>
      </c>
      <c r="BF169" s="50">
        <f t="shared" si="84"/>
        <v>0</v>
      </c>
      <c r="BG169" s="50">
        <f t="shared" si="85"/>
        <v>2.4166666665114498</v>
      </c>
      <c r="BH169" s="50">
        <f t="shared" si="86"/>
        <v>1</v>
      </c>
      <c r="BI169" s="50">
        <f t="shared" si="87"/>
        <v>0</v>
      </c>
      <c r="BJ169" s="50">
        <f t="shared" si="88"/>
        <v>0</v>
      </c>
      <c r="BK169" s="50">
        <f t="shared" si="89"/>
        <v>0</v>
      </c>
      <c r="BL169" s="50">
        <f t="shared" si="90"/>
        <v>0</v>
      </c>
      <c r="BM169" s="50">
        <f t="shared" si="91"/>
        <v>2.4166666665114498</v>
      </c>
      <c r="BN169" s="50">
        <f t="shared" si="92"/>
        <v>1</v>
      </c>
      <c r="BO169" s="50">
        <f t="shared" si="93"/>
        <v>0</v>
      </c>
      <c r="BP169" s="50">
        <f t="shared" si="94"/>
        <v>0</v>
      </c>
      <c r="BQ169" s="4" t="str">
        <f t="shared" si="95"/>
        <v>16,57 2025.08.05</v>
      </c>
      <c r="BR169" s="4" t="str">
        <f t="shared" si="96"/>
        <v>19,22 2025.08.05</v>
      </c>
      <c r="BS169" s="4" t="str">
        <f t="shared" si="97"/>
        <v>П</v>
      </c>
      <c r="BT169" s="10">
        <f t="shared" si="98"/>
        <v>2.4166666665114498</v>
      </c>
      <c r="BU169" s="42">
        <f t="shared" si="99"/>
        <v>1</v>
      </c>
      <c r="BV169" s="11">
        <f t="shared" si="100"/>
        <v>0</v>
      </c>
      <c r="BW169" s="11">
        <f t="shared" si="101"/>
        <v>0</v>
      </c>
      <c r="BX169" s="11">
        <f t="shared" si="102"/>
        <v>1</v>
      </c>
      <c r="BY169" s="11">
        <f t="shared" si="103"/>
        <v>0</v>
      </c>
      <c r="BZ169" s="11">
        <f t="shared" si="104"/>
        <v>0</v>
      </c>
      <c r="CA169" s="11">
        <f t="shared" si="105"/>
        <v>1</v>
      </c>
      <c r="CB169" s="42">
        <f t="shared" si="106"/>
        <v>0</v>
      </c>
      <c r="CC169" s="11">
        <f t="shared" si="107"/>
        <v>0</v>
      </c>
      <c r="CD169" s="11">
        <f t="shared" si="108"/>
        <v>1</v>
      </c>
      <c r="CE169" s="4"/>
      <c r="CF169" s="50">
        <f t="shared" si="109"/>
        <v>0</v>
      </c>
      <c r="CG169" s="50">
        <f t="shared" si="110"/>
        <v>0</v>
      </c>
      <c r="CH169" s="50">
        <f t="shared" si="111"/>
        <v>2.4166666665114498</v>
      </c>
      <c r="CI169" s="50">
        <f t="shared" si="112"/>
        <v>1</v>
      </c>
      <c r="CJ169" s="50">
        <f t="shared" si="113"/>
        <v>0</v>
      </c>
      <c r="CK169" s="50">
        <f t="shared" si="114"/>
        <v>0</v>
      </c>
      <c r="CL169" s="50">
        <f t="shared" si="115"/>
        <v>0</v>
      </c>
      <c r="CM169" s="50">
        <f t="shared" si="116"/>
        <v>0</v>
      </c>
      <c r="CN169" s="50">
        <f t="shared" si="117"/>
        <v>2.4166666665114498</v>
      </c>
      <c r="CO169" s="50">
        <f t="shared" si="118"/>
        <v>1</v>
      </c>
      <c r="CP169" s="50">
        <f t="shared" si="119"/>
        <v>0</v>
      </c>
      <c r="CQ169" s="50">
        <f t="shared" si="120"/>
        <v>0</v>
      </c>
      <c r="CR169"/>
    </row>
    <row r="170" spans="2:96" s="459" customFormat="1" ht="15.75" customHeight="1" x14ac:dyDescent="0.15">
      <c r="B170" s="59"/>
      <c r="D170" s="130">
        <v>21</v>
      </c>
      <c r="AA170" s="28" t="s">
        <v>701</v>
      </c>
      <c r="AB170" s="31" t="s">
        <v>1043</v>
      </c>
      <c r="AC170" s="247" t="s">
        <v>1627</v>
      </c>
      <c r="AD170" s="314" t="s">
        <v>110</v>
      </c>
      <c r="AE170" s="315" t="s">
        <v>1503</v>
      </c>
      <c r="AF170" s="316" t="s">
        <v>1432</v>
      </c>
      <c r="AG170" s="248" t="s">
        <v>1862</v>
      </c>
      <c r="AH170" s="248" t="s">
        <v>1863</v>
      </c>
      <c r="AI170" s="248" t="s">
        <v>100</v>
      </c>
      <c r="AJ170" s="317">
        <v>7.9499999998952298</v>
      </c>
      <c r="AK170" s="315" t="s">
        <v>1506</v>
      </c>
      <c r="AL170" s="315">
        <v>0</v>
      </c>
      <c r="AM170" s="315">
        <v>0</v>
      </c>
      <c r="AN170" s="42">
        <f t="shared" si="81"/>
        <v>1</v>
      </c>
      <c r="AO170" s="318">
        <v>0</v>
      </c>
      <c r="AP170" s="318">
        <v>0</v>
      </c>
      <c r="AQ170" s="318">
        <v>1</v>
      </c>
      <c r="AR170" s="318">
        <v>0</v>
      </c>
      <c r="AS170" s="318">
        <v>0</v>
      </c>
      <c r="AT170" s="318">
        <v>1</v>
      </c>
      <c r="AU170" s="42">
        <f t="shared" si="82"/>
        <v>0</v>
      </c>
      <c r="AV170" s="318">
        <v>0</v>
      </c>
      <c r="AW170" s="318">
        <v>780</v>
      </c>
      <c r="AX170" s="315"/>
      <c r="AY170" s="636"/>
      <c r="AZ170" s="319"/>
      <c r="BA170" s="319"/>
      <c r="BB170" s="318">
        <v>1</v>
      </c>
      <c r="BC170" s="9"/>
      <c r="BD170" s="9"/>
      <c r="BE170" s="50">
        <f t="shared" si="83"/>
        <v>0</v>
      </c>
      <c r="BF170" s="50">
        <f t="shared" si="84"/>
        <v>0</v>
      </c>
      <c r="BG170" s="50">
        <f t="shared" si="85"/>
        <v>7.9499999998952298</v>
      </c>
      <c r="BH170" s="50">
        <f t="shared" si="86"/>
        <v>1</v>
      </c>
      <c r="BI170" s="50">
        <f t="shared" si="87"/>
        <v>0</v>
      </c>
      <c r="BJ170" s="50">
        <f t="shared" si="88"/>
        <v>0</v>
      </c>
      <c r="BK170" s="50">
        <f t="shared" si="89"/>
        <v>0</v>
      </c>
      <c r="BL170" s="50">
        <f t="shared" si="90"/>
        <v>0</v>
      </c>
      <c r="BM170" s="50">
        <f t="shared" si="91"/>
        <v>7.9499999998952298</v>
      </c>
      <c r="BN170" s="50">
        <f t="shared" si="92"/>
        <v>1</v>
      </c>
      <c r="BO170" s="50">
        <f t="shared" si="93"/>
        <v>0</v>
      </c>
      <c r="BP170" s="50">
        <f t="shared" si="94"/>
        <v>0</v>
      </c>
      <c r="BQ170" s="4" t="str">
        <f t="shared" si="95"/>
        <v>09,59 2025.08.06</v>
      </c>
      <c r="BR170" s="4" t="str">
        <f t="shared" si="96"/>
        <v>17,56 2025.08.06</v>
      </c>
      <c r="BS170" s="4" t="str">
        <f t="shared" si="97"/>
        <v>П</v>
      </c>
      <c r="BT170" s="10">
        <f t="shared" si="98"/>
        <v>7.9499999998952298</v>
      </c>
      <c r="BU170" s="42">
        <f t="shared" si="99"/>
        <v>1</v>
      </c>
      <c r="BV170" s="11">
        <f t="shared" si="100"/>
        <v>0</v>
      </c>
      <c r="BW170" s="11">
        <f t="shared" si="101"/>
        <v>0</v>
      </c>
      <c r="BX170" s="11">
        <f t="shared" si="102"/>
        <v>1</v>
      </c>
      <c r="BY170" s="11">
        <f t="shared" si="103"/>
        <v>0</v>
      </c>
      <c r="BZ170" s="11">
        <f t="shared" si="104"/>
        <v>0</v>
      </c>
      <c r="CA170" s="11">
        <f t="shared" si="105"/>
        <v>1</v>
      </c>
      <c r="CB170" s="42">
        <f t="shared" si="106"/>
        <v>0</v>
      </c>
      <c r="CC170" s="11">
        <f t="shared" si="107"/>
        <v>0</v>
      </c>
      <c r="CD170" s="11">
        <f t="shared" si="108"/>
        <v>1</v>
      </c>
      <c r="CE170" s="4"/>
      <c r="CF170" s="50">
        <f t="shared" si="109"/>
        <v>0</v>
      </c>
      <c r="CG170" s="50">
        <f t="shared" si="110"/>
        <v>0</v>
      </c>
      <c r="CH170" s="50">
        <f t="shared" si="111"/>
        <v>7.9499999998952298</v>
      </c>
      <c r="CI170" s="50">
        <f t="shared" si="112"/>
        <v>1</v>
      </c>
      <c r="CJ170" s="50">
        <f t="shared" si="113"/>
        <v>0</v>
      </c>
      <c r="CK170" s="50">
        <f t="shared" si="114"/>
        <v>0</v>
      </c>
      <c r="CL170" s="50">
        <f t="shared" si="115"/>
        <v>0</v>
      </c>
      <c r="CM170" s="50">
        <f t="shared" si="116"/>
        <v>0</v>
      </c>
      <c r="CN170" s="50">
        <f t="shared" si="117"/>
        <v>7.9499999998952298</v>
      </c>
      <c r="CO170" s="50">
        <f t="shared" si="118"/>
        <v>1</v>
      </c>
      <c r="CP170" s="50">
        <f t="shared" si="119"/>
        <v>0</v>
      </c>
      <c r="CQ170" s="50">
        <f t="shared" si="120"/>
        <v>0</v>
      </c>
      <c r="CR170"/>
    </row>
    <row r="171" spans="2:96" s="460" customFormat="1" ht="15.75" customHeight="1" x14ac:dyDescent="0.15">
      <c r="B171" s="59"/>
      <c r="D171" s="130">
        <v>21</v>
      </c>
      <c r="AA171" s="28" t="s">
        <v>701</v>
      </c>
      <c r="AB171" s="31" t="s">
        <v>1044</v>
      </c>
      <c r="AC171" s="247" t="s">
        <v>1430</v>
      </c>
      <c r="AD171" s="314" t="s">
        <v>110</v>
      </c>
      <c r="AE171" s="315" t="s">
        <v>1864</v>
      </c>
      <c r="AF171" s="316" t="s">
        <v>1432</v>
      </c>
      <c r="AG171" s="248" t="s">
        <v>1865</v>
      </c>
      <c r="AH171" s="248" t="s">
        <v>1865</v>
      </c>
      <c r="AI171" s="248" t="s">
        <v>122</v>
      </c>
      <c r="AJ171" s="317">
        <v>0</v>
      </c>
      <c r="AK171" s="315" t="s">
        <v>1866</v>
      </c>
      <c r="AL171" s="315">
        <v>0</v>
      </c>
      <c r="AM171" s="315">
        <v>0</v>
      </c>
      <c r="AN171" s="42">
        <f t="shared" si="81"/>
        <v>1</v>
      </c>
      <c r="AO171" s="318">
        <v>0</v>
      </c>
      <c r="AP171" s="318">
        <v>0</v>
      </c>
      <c r="AQ171" s="318">
        <v>1</v>
      </c>
      <c r="AR171" s="318">
        <v>0</v>
      </c>
      <c r="AS171" s="318">
        <v>0</v>
      </c>
      <c r="AT171" s="318">
        <v>1</v>
      </c>
      <c r="AU171" s="42">
        <f t="shared" si="82"/>
        <v>0</v>
      </c>
      <c r="AV171" s="318">
        <v>0</v>
      </c>
      <c r="AW171" s="318">
        <v>120</v>
      </c>
      <c r="AX171" s="315"/>
      <c r="AY171" s="636" t="s">
        <v>2093</v>
      </c>
      <c r="AZ171" s="319" t="s">
        <v>199</v>
      </c>
      <c r="BA171" s="319" t="s">
        <v>2041</v>
      </c>
      <c r="BB171" s="318">
        <v>0</v>
      </c>
      <c r="BC171" s="9"/>
      <c r="BD171" s="9"/>
      <c r="BE171" s="50">
        <f t="shared" si="83"/>
        <v>0</v>
      </c>
      <c r="BF171" s="50">
        <f t="shared" si="84"/>
        <v>0</v>
      </c>
      <c r="BG171" s="50">
        <f t="shared" si="85"/>
        <v>0</v>
      </c>
      <c r="BH171" s="50">
        <f t="shared" si="86"/>
        <v>0</v>
      </c>
      <c r="BI171" s="50">
        <f t="shared" si="87"/>
        <v>0</v>
      </c>
      <c r="BJ171" s="50">
        <f t="shared" si="88"/>
        <v>0</v>
      </c>
      <c r="BK171" s="50">
        <f t="shared" si="89"/>
        <v>0</v>
      </c>
      <c r="BL171" s="50">
        <f t="shared" si="90"/>
        <v>0</v>
      </c>
      <c r="BM171" s="50">
        <f t="shared" si="91"/>
        <v>0</v>
      </c>
      <c r="BN171" s="50">
        <f t="shared" si="92"/>
        <v>0</v>
      </c>
      <c r="BO171" s="50">
        <f t="shared" si="93"/>
        <v>0</v>
      </c>
      <c r="BP171" s="50">
        <f t="shared" si="94"/>
        <v>0</v>
      </c>
      <c r="BQ171" s="4" t="str">
        <f t="shared" si="95"/>
        <v>16,28 2025.08.11</v>
      </c>
      <c r="BR171" s="4" t="str">
        <f t="shared" si="96"/>
        <v>16,28 2025.08.11</v>
      </c>
      <c r="BS171" s="4" t="str">
        <f t="shared" si="97"/>
        <v>В</v>
      </c>
      <c r="BT171" s="10">
        <f t="shared" si="98"/>
        <v>0</v>
      </c>
      <c r="BU171" s="42">
        <f t="shared" si="99"/>
        <v>1</v>
      </c>
      <c r="BV171" s="11">
        <f t="shared" si="100"/>
        <v>0</v>
      </c>
      <c r="BW171" s="11">
        <f t="shared" si="101"/>
        <v>0</v>
      </c>
      <c r="BX171" s="11">
        <f t="shared" si="102"/>
        <v>1</v>
      </c>
      <c r="BY171" s="11">
        <f t="shared" si="103"/>
        <v>0</v>
      </c>
      <c r="BZ171" s="11">
        <f t="shared" si="104"/>
        <v>0</v>
      </c>
      <c r="CA171" s="11">
        <f t="shared" si="105"/>
        <v>1</v>
      </c>
      <c r="CB171" s="42">
        <f t="shared" si="106"/>
        <v>0</v>
      </c>
      <c r="CC171" s="11">
        <f t="shared" si="107"/>
        <v>0</v>
      </c>
      <c r="CD171" s="11">
        <f t="shared" si="108"/>
        <v>0</v>
      </c>
      <c r="CE171" s="4"/>
      <c r="CF171" s="50">
        <f t="shared" si="109"/>
        <v>0</v>
      </c>
      <c r="CG171" s="50">
        <f t="shared" si="110"/>
        <v>0</v>
      </c>
      <c r="CH171" s="50">
        <f t="shared" si="111"/>
        <v>0</v>
      </c>
      <c r="CI171" s="50">
        <f t="shared" si="112"/>
        <v>0</v>
      </c>
      <c r="CJ171" s="50">
        <f t="shared" si="113"/>
        <v>0</v>
      </c>
      <c r="CK171" s="50">
        <f t="shared" si="114"/>
        <v>0</v>
      </c>
      <c r="CL171" s="50">
        <f t="shared" si="115"/>
        <v>0</v>
      </c>
      <c r="CM171" s="50">
        <f t="shared" si="116"/>
        <v>0</v>
      </c>
      <c r="CN171" s="50">
        <f t="shared" si="117"/>
        <v>0</v>
      </c>
      <c r="CO171" s="50">
        <f t="shared" si="118"/>
        <v>0</v>
      </c>
      <c r="CP171" s="50">
        <f t="shared" si="119"/>
        <v>0</v>
      </c>
      <c r="CQ171" s="50">
        <f t="shared" si="120"/>
        <v>0</v>
      </c>
      <c r="CR171"/>
    </row>
    <row r="172" spans="2:96" s="461" customFormat="1" ht="15.75" customHeight="1" x14ac:dyDescent="0.15">
      <c r="B172" s="59"/>
      <c r="D172" s="130">
        <v>21</v>
      </c>
      <c r="AA172" s="28" t="s">
        <v>701</v>
      </c>
      <c r="AB172" s="31" t="s">
        <v>1045</v>
      </c>
      <c r="AC172" s="247" t="s">
        <v>1627</v>
      </c>
      <c r="AD172" s="314" t="s">
        <v>110</v>
      </c>
      <c r="AE172" s="315" t="s">
        <v>1768</v>
      </c>
      <c r="AF172" s="316" t="s">
        <v>1495</v>
      </c>
      <c r="AG172" s="248" t="s">
        <v>1867</v>
      </c>
      <c r="AH172" s="248" t="s">
        <v>1867</v>
      </c>
      <c r="AI172" s="248" t="s">
        <v>122</v>
      </c>
      <c r="AJ172" s="317">
        <v>0</v>
      </c>
      <c r="AK172" s="315" t="s">
        <v>1670</v>
      </c>
      <c r="AL172" s="315">
        <v>0</v>
      </c>
      <c r="AM172" s="315">
        <v>0</v>
      </c>
      <c r="AN172" s="42">
        <f t="shared" si="81"/>
        <v>2</v>
      </c>
      <c r="AO172" s="318">
        <v>0</v>
      </c>
      <c r="AP172" s="318">
        <v>0</v>
      </c>
      <c r="AQ172" s="318">
        <v>2</v>
      </c>
      <c r="AR172" s="318">
        <v>0</v>
      </c>
      <c r="AS172" s="318">
        <v>0</v>
      </c>
      <c r="AT172" s="318">
        <v>2</v>
      </c>
      <c r="AU172" s="42">
        <f t="shared" si="82"/>
        <v>0</v>
      </c>
      <c r="AV172" s="318">
        <v>0</v>
      </c>
      <c r="AW172" s="318">
        <v>1168</v>
      </c>
      <c r="AX172" s="315"/>
      <c r="AY172" s="636" t="s">
        <v>2094</v>
      </c>
      <c r="AZ172" s="319" t="s">
        <v>199</v>
      </c>
      <c r="BA172" s="319" t="s">
        <v>2041</v>
      </c>
      <c r="BB172" s="318">
        <v>0</v>
      </c>
      <c r="BC172" s="9"/>
      <c r="BD172" s="9"/>
      <c r="BE172" s="50">
        <f t="shared" si="83"/>
        <v>0</v>
      </c>
      <c r="BF172" s="50">
        <f t="shared" si="84"/>
        <v>0</v>
      </c>
      <c r="BG172" s="50">
        <f t="shared" si="85"/>
        <v>0</v>
      </c>
      <c r="BH172" s="50">
        <f t="shared" si="86"/>
        <v>0</v>
      </c>
      <c r="BI172" s="50">
        <f t="shared" si="87"/>
        <v>0</v>
      </c>
      <c r="BJ172" s="50">
        <f t="shared" si="88"/>
        <v>0</v>
      </c>
      <c r="BK172" s="50">
        <f t="shared" si="89"/>
        <v>0</v>
      </c>
      <c r="BL172" s="50">
        <f t="shared" si="90"/>
        <v>0</v>
      </c>
      <c r="BM172" s="50">
        <f t="shared" si="91"/>
        <v>0</v>
      </c>
      <c r="BN172" s="50">
        <f t="shared" si="92"/>
        <v>0</v>
      </c>
      <c r="BO172" s="50">
        <f t="shared" si="93"/>
        <v>0</v>
      </c>
      <c r="BP172" s="50">
        <f t="shared" si="94"/>
        <v>0</v>
      </c>
      <c r="BQ172" s="4" t="str">
        <f t="shared" si="95"/>
        <v>17,28 2025.08.11</v>
      </c>
      <c r="BR172" s="4" t="str">
        <f t="shared" si="96"/>
        <v>17,28 2025.08.11</v>
      </c>
      <c r="BS172" s="4" t="str">
        <f t="shared" si="97"/>
        <v>В</v>
      </c>
      <c r="BT172" s="10">
        <f t="shared" si="98"/>
        <v>0</v>
      </c>
      <c r="BU172" s="42">
        <f t="shared" si="99"/>
        <v>2</v>
      </c>
      <c r="BV172" s="11">
        <f t="shared" si="100"/>
        <v>0</v>
      </c>
      <c r="BW172" s="11">
        <f t="shared" si="101"/>
        <v>0</v>
      </c>
      <c r="BX172" s="11">
        <f t="shared" si="102"/>
        <v>2</v>
      </c>
      <c r="BY172" s="11">
        <f t="shared" si="103"/>
        <v>0</v>
      </c>
      <c r="BZ172" s="11">
        <f t="shared" si="104"/>
        <v>0</v>
      </c>
      <c r="CA172" s="11">
        <f t="shared" si="105"/>
        <v>2</v>
      </c>
      <c r="CB172" s="42">
        <f t="shared" si="106"/>
        <v>0</v>
      </c>
      <c r="CC172" s="11">
        <f t="shared" si="107"/>
        <v>0</v>
      </c>
      <c r="CD172" s="11">
        <f t="shared" si="108"/>
        <v>0</v>
      </c>
      <c r="CE172" s="4"/>
      <c r="CF172" s="50">
        <f t="shared" si="109"/>
        <v>0</v>
      </c>
      <c r="CG172" s="50">
        <f t="shared" si="110"/>
        <v>0</v>
      </c>
      <c r="CH172" s="50">
        <f t="shared" si="111"/>
        <v>0</v>
      </c>
      <c r="CI172" s="50">
        <f t="shared" si="112"/>
        <v>0</v>
      </c>
      <c r="CJ172" s="50">
        <f t="shared" si="113"/>
        <v>0</v>
      </c>
      <c r="CK172" s="50">
        <f t="shared" si="114"/>
        <v>0</v>
      </c>
      <c r="CL172" s="50">
        <f t="shared" si="115"/>
        <v>0</v>
      </c>
      <c r="CM172" s="50">
        <f t="shared" si="116"/>
        <v>0</v>
      </c>
      <c r="CN172" s="50">
        <f t="shared" si="117"/>
        <v>0</v>
      </c>
      <c r="CO172" s="50">
        <f t="shared" si="118"/>
        <v>0</v>
      </c>
      <c r="CP172" s="50">
        <f t="shared" si="119"/>
        <v>0</v>
      </c>
      <c r="CQ172" s="50">
        <f t="shared" si="120"/>
        <v>0</v>
      </c>
      <c r="CR172"/>
    </row>
    <row r="173" spans="2:96" s="462" customFormat="1" ht="15.75" customHeight="1" x14ac:dyDescent="0.15">
      <c r="B173" s="59"/>
      <c r="D173" s="130">
        <v>21</v>
      </c>
      <c r="AA173" s="28" t="s">
        <v>701</v>
      </c>
      <c r="AB173" s="31" t="s">
        <v>1046</v>
      </c>
      <c r="AC173" s="247" t="s">
        <v>1445</v>
      </c>
      <c r="AD173" s="314" t="s">
        <v>110</v>
      </c>
      <c r="AE173" s="315" t="s">
        <v>1446</v>
      </c>
      <c r="AF173" s="316" t="s">
        <v>1432</v>
      </c>
      <c r="AG173" s="248" t="s">
        <v>1868</v>
      </c>
      <c r="AH173" s="248" t="s">
        <v>1869</v>
      </c>
      <c r="AI173" s="248" t="s">
        <v>100</v>
      </c>
      <c r="AJ173" s="317">
        <v>3.5166666667792001</v>
      </c>
      <c r="AK173" s="315" t="s">
        <v>1449</v>
      </c>
      <c r="AL173" s="315">
        <v>0</v>
      </c>
      <c r="AM173" s="315">
        <v>0</v>
      </c>
      <c r="AN173" s="42">
        <f t="shared" si="81"/>
        <v>2</v>
      </c>
      <c r="AO173" s="318">
        <v>0</v>
      </c>
      <c r="AP173" s="318">
        <v>0</v>
      </c>
      <c r="AQ173" s="318">
        <v>2</v>
      </c>
      <c r="AR173" s="318">
        <v>0</v>
      </c>
      <c r="AS173" s="318">
        <v>0</v>
      </c>
      <c r="AT173" s="318">
        <v>2</v>
      </c>
      <c r="AU173" s="42">
        <f t="shared" si="82"/>
        <v>0</v>
      </c>
      <c r="AV173" s="318">
        <v>0</v>
      </c>
      <c r="AW173" s="318">
        <v>1620</v>
      </c>
      <c r="AX173" s="315"/>
      <c r="AY173" s="636"/>
      <c r="AZ173" s="319"/>
      <c r="BA173" s="319"/>
      <c r="BB173" s="318">
        <v>1</v>
      </c>
      <c r="BC173" s="9"/>
      <c r="BD173" s="9"/>
      <c r="BE173" s="50">
        <f t="shared" si="83"/>
        <v>0</v>
      </c>
      <c r="BF173" s="50">
        <f t="shared" si="84"/>
        <v>0</v>
      </c>
      <c r="BG173" s="50">
        <f t="shared" si="85"/>
        <v>7.0333333335584003</v>
      </c>
      <c r="BH173" s="50">
        <f t="shared" si="86"/>
        <v>2</v>
      </c>
      <c r="BI173" s="50">
        <f t="shared" si="87"/>
        <v>0</v>
      </c>
      <c r="BJ173" s="50">
        <f t="shared" si="88"/>
        <v>0</v>
      </c>
      <c r="BK173" s="50">
        <f t="shared" si="89"/>
        <v>0</v>
      </c>
      <c r="BL173" s="50">
        <f t="shared" si="90"/>
        <v>0</v>
      </c>
      <c r="BM173" s="50">
        <f t="shared" si="91"/>
        <v>7.0333333335584003</v>
      </c>
      <c r="BN173" s="50">
        <f t="shared" si="92"/>
        <v>2</v>
      </c>
      <c r="BO173" s="50">
        <f t="shared" si="93"/>
        <v>0</v>
      </c>
      <c r="BP173" s="50">
        <f t="shared" si="94"/>
        <v>0</v>
      </c>
      <c r="BQ173" s="4" t="str">
        <f t="shared" si="95"/>
        <v>15,54 2025.08.12</v>
      </c>
      <c r="BR173" s="4" t="str">
        <f t="shared" si="96"/>
        <v>19,25 2025.08.12</v>
      </c>
      <c r="BS173" s="4" t="str">
        <f t="shared" si="97"/>
        <v>П</v>
      </c>
      <c r="BT173" s="10">
        <f t="shared" si="98"/>
        <v>3.5166666667792001</v>
      </c>
      <c r="BU173" s="42">
        <f t="shared" si="99"/>
        <v>2</v>
      </c>
      <c r="BV173" s="11">
        <f t="shared" si="100"/>
        <v>0</v>
      </c>
      <c r="BW173" s="11">
        <f t="shared" si="101"/>
        <v>0</v>
      </c>
      <c r="BX173" s="11">
        <f t="shared" si="102"/>
        <v>2</v>
      </c>
      <c r="BY173" s="11">
        <f t="shared" si="103"/>
        <v>0</v>
      </c>
      <c r="BZ173" s="11">
        <f t="shared" si="104"/>
        <v>0</v>
      </c>
      <c r="CA173" s="11">
        <f t="shared" si="105"/>
        <v>2</v>
      </c>
      <c r="CB173" s="42">
        <f t="shared" si="106"/>
        <v>0</v>
      </c>
      <c r="CC173" s="11">
        <f t="shared" si="107"/>
        <v>0</v>
      </c>
      <c r="CD173" s="11">
        <f t="shared" si="108"/>
        <v>1</v>
      </c>
      <c r="CE173" s="4"/>
      <c r="CF173" s="50">
        <f t="shared" si="109"/>
        <v>0</v>
      </c>
      <c r="CG173" s="50">
        <f t="shared" si="110"/>
        <v>0</v>
      </c>
      <c r="CH173" s="50">
        <f t="shared" si="111"/>
        <v>7.0333333335584003</v>
      </c>
      <c r="CI173" s="50">
        <f t="shared" si="112"/>
        <v>2</v>
      </c>
      <c r="CJ173" s="50">
        <f t="shared" si="113"/>
        <v>0</v>
      </c>
      <c r="CK173" s="50">
        <f t="shared" si="114"/>
        <v>0</v>
      </c>
      <c r="CL173" s="50">
        <f t="shared" si="115"/>
        <v>0</v>
      </c>
      <c r="CM173" s="50">
        <f t="shared" si="116"/>
        <v>0</v>
      </c>
      <c r="CN173" s="50">
        <f t="shared" si="117"/>
        <v>7.0333333335584003</v>
      </c>
      <c r="CO173" s="50">
        <f t="shared" si="118"/>
        <v>2</v>
      </c>
      <c r="CP173" s="50">
        <f t="shared" si="119"/>
        <v>0</v>
      </c>
      <c r="CQ173" s="50">
        <f t="shared" si="120"/>
        <v>0</v>
      </c>
      <c r="CR173"/>
    </row>
    <row r="174" spans="2:96" s="463" customFormat="1" ht="15.75" customHeight="1" x14ac:dyDescent="0.15">
      <c r="B174" s="59"/>
      <c r="D174" s="130">
        <v>21</v>
      </c>
      <c r="AA174" s="28" t="s">
        <v>701</v>
      </c>
      <c r="AB174" s="31" t="s">
        <v>1047</v>
      </c>
      <c r="AC174" s="247" t="s">
        <v>1430</v>
      </c>
      <c r="AD174" s="314" t="s">
        <v>110</v>
      </c>
      <c r="AE174" s="315" t="s">
        <v>1534</v>
      </c>
      <c r="AF174" s="316" t="s">
        <v>1432</v>
      </c>
      <c r="AG174" s="248" t="s">
        <v>1870</v>
      </c>
      <c r="AH174" s="248" t="s">
        <v>1871</v>
      </c>
      <c r="AI174" s="248" t="s">
        <v>100</v>
      </c>
      <c r="AJ174" s="317">
        <v>1.3166666665929401</v>
      </c>
      <c r="AK174" s="315" t="s">
        <v>1537</v>
      </c>
      <c r="AL174" s="315">
        <v>0</v>
      </c>
      <c r="AM174" s="315">
        <v>0</v>
      </c>
      <c r="AN174" s="42">
        <f t="shared" si="81"/>
        <v>1</v>
      </c>
      <c r="AO174" s="318">
        <v>0</v>
      </c>
      <c r="AP174" s="318">
        <v>0</v>
      </c>
      <c r="AQ174" s="318">
        <v>1</v>
      </c>
      <c r="AR174" s="318">
        <v>0</v>
      </c>
      <c r="AS174" s="318">
        <v>0</v>
      </c>
      <c r="AT174" s="318">
        <v>1</v>
      </c>
      <c r="AU174" s="42">
        <f t="shared" si="82"/>
        <v>0</v>
      </c>
      <c r="AV174" s="318">
        <v>0</v>
      </c>
      <c r="AW174" s="318">
        <v>180</v>
      </c>
      <c r="AX174" s="315"/>
      <c r="AY174" s="636"/>
      <c r="AZ174" s="319"/>
      <c r="BA174" s="319"/>
      <c r="BB174" s="318">
        <v>1</v>
      </c>
      <c r="BC174" s="9"/>
      <c r="BD174" s="9"/>
      <c r="BE174" s="50">
        <f t="shared" si="83"/>
        <v>0</v>
      </c>
      <c r="BF174" s="50">
        <f t="shared" si="84"/>
        <v>0</v>
      </c>
      <c r="BG174" s="50">
        <f t="shared" si="85"/>
        <v>1.3166666665929401</v>
      </c>
      <c r="BH174" s="50">
        <f t="shared" si="86"/>
        <v>1</v>
      </c>
      <c r="BI174" s="50">
        <f t="shared" si="87"/>
        <v>0</v>
      </c>
      <c r="BJ174" s="50">
        <f t="shared" si="88"/>
        <v>0</v>
      </c>
      <c r="BK174" s="50">
        <f t="shared" si="89"/>
        <v>0</v>
      </c>
      <c r="BL174" s="50">
        <f t="shared" si="90"/>
        <v>0</v>
      </c>
      <c r="BM174" s="50">
        <f t="shared" si="91"/>
        <v>1.3166666665929401</v>
      </c>
      <c r="BN174" s="50">
        <f t="shared" si="92"/>
        <v>1</v>
      </c>
      <c r="BO174" s="50">
        <f t="shared" si="93"/>
        <v>0</v>
      </c>
      <c r="BP174" s="50">
        <f t="shared" si="94"/>
        <v>0</v>
      </c>
      <c r="BQ174" s="4" t="str">
        <f t="shared" si="95"/>
        <v>10,01 2025.08.13</v>
      </c>
      <c r="BR174" s="4" t="str">
        <f t="shared" si="96"/>
        <v>11,20 2025.08.13</v>
      </c>
      <c r="BS174" s="4" t="str">
        <f t="shared" si="97"/>
        <v>П</v>
      </c>
      <c r="BT174" s="10">
        <f t="shared" si="98"/>
        <v>1.3166666665929401</v>
      </c>
      <c r="BU174" s="42">
        <f t="shared" si="99"/>
        <v>1</v>
      </c>
      <c r="BV174" s="11">
        <f t="shared" si="100"/>
        <v>0</v>
      </c>
      <c r="BW174" s="11">
        <f t="shared" si="101"/>
        <v>0</v>
      </c>
      <c r="BX174" s="11">
        <f t="shared" si="102"/>
        <v>1</v>
      </c>
      <c r="BY174" s="11">
        <f t="shared" si="103"/>
        <v>0</v>
      </c>
      <c r="BZ174" s="11">
        <f t="shared" si="104"/>
        <v>0</v>
      </c>
      <c r="CA174" s="11">
        <f t="shared" si="105"/>
        <v>1</v>
      </c>
      <c r="CB174" s="42">
        <f t="shared" si="106"/>
        <v>0</v>
      </c>
      <c r="CC174" s="11">
        <f t="shared" si="107"/>
        <v>0</v>
      </c>
      <c r="CD174" s="11">
        <f t="shared" si="108"/>
        <v>1</v>
      </c>
      <c r="CE174" s="4"/>
      <c r="CF174" s="50">
        <f t="shared" si="109"/>
        <v>0</v>
      </c>
      <c r="CG174" s="50">
        <f t="shared" si="110"/>
        <v>0</v>
      </c>
      <c r="CH174" s="50">
        <f t="shared" si="111"/>
        <v>1.3166666665929401</v>
      </c>
      <c r="CI174" s="50">
        <f t="shared" si="112"/>
        <v>1</v>
      </c>
      <c r="CJ174" s="50">
        <f t="shared" si="113"/>
        <v>0</v>
      </c>
      <c r="CK174" s="50">
        <f t="shared" si="114"/>
        <v>0</v>
      </c>
      <c r="CL174" s="50">
        <f t="shared" si="115"/>
        <v>0</v>
      </c>
      <c r="CM174" s="50">
        <f t="shared" si="116"/>
        <v>0</v>
      </c>
      <c r="CN174" s="50">
        <f t="shared" si="117"/>
        <v>1.3166666665929401</v>
      </c>
      <c r="CO174" s="50">
        <f t="shared" si="118"/>
        <v>1</v>
      </c>
      <c r="CP174" s="50">
        <f t="shared" si="119"/>
        <v>0</v>
      </c>
      <c r="CQ174" s="50">
        <f t="shared" si="120"/>
        <v>0</v>
      </c>
      <c r="CR174"/>
    </row>
    <row r="175" spans="2:96" s="464" customFormat="1" ht="15.75" customHeight="1" x14ac:dyDescent="0.15">
      <c r="B175" s="59"/>
      <c r="D175" s="130">
        <v>21</v>
      </c>
      <c r="AA175" s="28" t="s">
        <v>701</v>
      </c>
      <c r="AB175" s="31" t="s">
        <v>1048</v>
      </c>
      <c r="AC175" s="247" t="s">
        <v>1445</v>
      </c>
      <c r="AD175" s="314" t="s">
        <v>110</v>
      </c>
      <c r="AE175" s="315" t="s">
        <v>1542</v>
      </c>
      <c r="AF175" s="316" t="s">
        <v>1432</v>
      </c>
      <c r="AG175" s="248" t="s">
        <v>1872</v>
      </c>
      <c r="AH175" s="248" t="s">
        <v>1872</v>
      </c>
      <c r="AI175" s="248" t="s">
        <v>122</v>
      </c>
      <c r="AJ175" s="317">
        <v>0</v>
      </c>
      <c r="AK175" s="315" t="s">
        <v>1545</v>
      </c>
      <c r="AL175" s="315">
        <v>0</v>
      </c>
      <c r="AM175" s="315">
        <v>0</v>
      </c>
      <c r="AN175" s="42">
        <f t="shared" si="81"/>
        <v>1</v>
      </c>
      <c r="AO175" s="318">
        <v>0</v>
      </c>
      <c r="AP175" s="318">
        <v>0</v>
      </c>
      <c r="AQ175" s="318">
        <v>1</v>
      </c>
      <c r="AR175" s="318">
        <v>0</v>
      </c>
      <c r="AS175" s="318">
        <v>0</v>
      </c>
      <c r="AT175" s="318">
        <v>1</v>
      </c>
      <c r="AU175" s="42">
        <f t="shared" si="82"/>
        <v>0</v>
      </c>
      <c r="AV175" s="318">
        <v>0</v>
      </c>
      <c r="AW175" s="318">
        <v>750</v>
      </c>
      <c r="AX175" s="315"/>
      <c r="AY175" s="636" t="s">
        <v>2095</v>
      </c>
      <c r="AZ175" s="319" t="s">
        <v>199</v>
      </c>
      <c r="BA175" s="319" t="s">
        <v>2041</v>
      </c>
      <c r="BB175" s="318">
        <v>0</v>
      </c>
      <c r="BC175" s="9"/>
      <c r="BD175" s="9"/>
      <c r="BE175" s="50">
        <f t="shared" si="83"/>
        <v>0</v>
      </c>
      <c r="BF175" s="50">
        <f t="shared" si="84"/>
        <v>0</v>
      </c>
      <c r="BG175" s="50">
        <f t="shared" si="85"/>
        <v>0</v>
      </c>
      <c r="BH175" s="50">
        <f t="shared" si="86"/>
        <v>0</v>
      </c>
      <c r="BI175" s="50">
        <f t="shared" si="87"/>
        <v>0</v>
      </c>
      <c r="BJ175" s="50">
        <f t="shared" si="88"/>
        <v>0</v>
      </c>
      <c r="BK175" s="50">
        <f t="shared" si="89"/>
        <v>0</v>
      </c>
      <c r="BL175" s="50">
        <f t="shared" si="90"/>
        <v>0</v>
      </c>
      <c r="BM175" s="50">
        <f t="shared" si="91"/>
        <v>0</v>
      </c>
      <c r="BN175" s="50">
        <f t="shared" si="92"/>
        <v>0</v>
      </c>
      <c r="BO175" s="50">
        <f t="shared" si="93"/>
        <v>0</v>
      </c>
      <c r="BP175" s="50">
        <f t="shared" si="94"/>
        <v>0</v>
      </c>
      <c r="BQ175" s="4" t="str">
        <f t="shared" si="95"/>
        <v>19,22 2025.08.15</v>
      </c>
      <c r="BR175" s="4" t="str">
        <f t="shared" si="96"/>
        <v>19,22 2025.08.15</v>
      </c>
      <c r="BS175" s="4" t="str">
        <f t="shared" si="97"/>
        <v>В</v>
      </c>
      <c r="BT175" s="10">
        <f t="shared" si="98"/>
        <v>0</v>
      </c>
      <c r="BU175" s="42">
        <f t="shared" si="99"/>
        <v>1</v>
      </c>
      <c r="BV175" s="11">
        <f t="shared" si="100"/>
        <v>0</v>
      </c>
      <c r="BW175" s="11">
        <f t="shared" si="101"/>
        <v>0</v>
      </c>
      <c r="BX175" s="11">
        <f t="shared" si="102"/>
        <v>1</v>
      </c>
      <c r="BY175" s="11">
        <f t="shared" si="103"/>
        <v>0</v>
      </c>
      <c r="BZ175" s="11">
        <f t="shared" si="104"/>
        <v>0</v>
      </c>
      <c r="CA175" s="11">
        <f t="shared" si="105"/>
        <v>1</v>
      </c>
      <c r="CB175" s="42">
        <f t="shared" si="106"/>
        <v>0</v>
      </c>
      <c r="CC175" s="11">
        <f t="shared" si="107"/>
        <v>0</v>
      </c>
      <c r="CD175" s="11">
        <f t="shared" si="108"/>
        <v>0</v>
      </c>
      <c r="CE175" s="4"/>
      <c r="CF175" s="50">
        <f t="shared" si="109"/>
        <v>0</v>
      </c>
      <c r="CG175" s="50">
        <f t="shared" si="110"/>
        <v>0</v>
      </c>
      <c r="CH175" s="50">
        <f t="shared" si="111"/>
        <v>0</v>
      </c>
      <c r="CI175" s="50">
        <f t="shared" si="112"/>
        <v>0</v>
      </c>
      <c r="CJ175" s="50">
        <f t="shared" si="113"/>
        <v>0</v>
      </c>
      <c r="CK175" s="50">
        <f t="shared" si="114"/>
        <v>0</v>
      </c>
      <c r="CL175" s="50">
        <f t="shared" si="115"/>
        <v>0</v>
      </c>
      <c r="CM175" s="50">
        <f t="shared" si="116"/>
        <v>0</v>
      </c>
      <c r="CN175" s="50">
        <f t="shared" si="117"/>
        <v>0</v>
      </c>
      <c r="CO175" s="50">
        <f t="shared" si="118"/>
        <v>0</v>
      </c>
      <c r="CP175" s="50">
        <f t="shared" si="119"/>
        <v>0</v>
      </c>
      <c r="CQ175" s="50">
        <f t="shared" si="120"/>
        <v>0</v>
      </c>
      <c r="CR175"/>
    </row>
    <row r="176" spans="2:96" s="465" customFormat="1" ht="15.75" customHeight="1" x14ac:dyDescent="0.15">
      <c r="B176" s="59"/>
      <c r="D176" s="130">
        <v>21</v>
      </c>
      <c r="AA176" s="28" t="s">
        <v>701</v>
      </c>
      <c r="AB176" s="31" t="s">
        <v>1049</v>
      </c>
      <c r="AC176" s="247" t="s">
        <v>1445</v>
      </c>
      <c r="AD176" s="314" t="s">
        <v>110</v>
      </c>
      <c r="AE176" s="315" t="s">
        <v>1873</v>
      </c>
      <c r="AF176" s="316" t="s">
        <v>1432</v>
      </c>
      <c r="AG176" s="248" t="s">
        <v>1874</v>
      </c>
      <c r="AH176" s="248" t="s">
        <v>1874</v>
      </c>
      <c r="AI176" s="248" t="s">
        <v>122</v>
      </c>
      <c r="AJ176" s="317">
        <v>0</v>
      </c>
      <c r="AK176" s="315" t="s">
        <v>1875</v>
      </c>
      <c r="AL176" s="315">
        <v>0</v>
      </c>
      <c r="AM176" s="315">
        <v>0</v>
      </c>
      <c r="AN176" s="42">
        <f t="shared" si="81"/>
        <v>1</v>
      </c>
      <c r="AO176" s="318">
        <v>0</v>
      </c>
      <c r="AP176" s="318">
        <v>0</v>
      </c>
      <c r="AQ176" s="318">
        <v>1</v>
      </c>
      <c r="AR176" s="318">
        <v>0</v>
      </c>
      <c r="AS176" s="318">
        <v>0</v>
      </c>
      <c r="AT176" s="318">
        <v>1</v>
      </c>
      <c r="AU176" s="42">
        <f t="shared" si="82"/>
        <v>0</v>
      </c>
      <c r="AV176" s="318">
        <v>0</v>
      </c>
      <c r="AW176" s="318">
        <v>280</v>
      </c>
      <c r="AX176" s="315"/>
      <c r="AY176" s="636" t="s">
        <v>2096</v>
      </c>
      <c r="AZ176" s="319" t="s">
        <v>200</v>
      </c>
      <c r="BA176" s="319" t="s">
        <v>2097</v>
      </c>
      <c r="BB176" s="318">
        <v>0</v>
      </c>
      <c r="BC176" s="9"/>
      <c r="BD176" s="9"/>
      <c r="BE176" s="50">
        <f t="shared" si="83"/>
        <v>0</v>
      </c>
      <c r="BF176" s="50">
        <f t="shared" si="84"/>
        <v>0</v>
      </c>
      <c r="BG176" s="50">
        <f t="shared" si="85"/>
        <v>0</v>
      </c>
      <c r="BH176" s="50">
        <f t="shared" si="86"/>
        <v>0</v>
      </c>
      <c r="BI176" s="50">
        <f t="shared" si="87"/>
        <v>0</v>
      </c>
      <c r="BJ176" s="50">
        <f t="shared" si="88"/>
        <v>0</v>
      </c>
      <c r="BK176" s="50">
        <f t="shared" si="89"/>
        <v>0</v>
      </c>
      <c r="BL176" s="50">
        <f t="shared" si="90"/>
        <v>0</v>
      </c>
      <c r="BM176" s="50">
        <f t="shared" si="91"/>
        <v>0</v>
      </c>
      <c r="BN176" s="50">
        <f t="shared" si="92"/>
        <v>0</v>
      </c>
      <c r="BO176" s="50">
        <f t="shared" si="93"/>
        <v>0</v>
      </c>
      <c r="BP176" s="50">
        <f t="shared" si="94"/>
        <v>0</v>
      </c>
      <c r="BQ176" s="4" t="str">
        <f t="shared" si="95"/>
        <v>21,20 2025.08.15</v>
      </c>
      <c r="BR176" s="4" t="str">
        <f t="shared" si="96"/>
        <v>21,20 2025.08.15</v>
      </c>
      <c r="BS176" s="4" t="str">
        <f t="shared" si="97"/>
        <v>В</v>
      </c>
      <c r="BT176" s="10">
        <f t="shared" si="98"/>
        <v>0</v>
      </c>
      <c r="BU176" s="42">
        <f t="shared" si="99"/>
        <v>1</v>
      </c>
      <c r="BV176" s="11">
        <f t="shared" si="100"/>
        <v>0</v>
      </c>
      <c r="BW176" s="11">
        <f t="shared" si="101"/>
        <v>0</v>
      </c>
      <c r="BX176" s="11">
        <f t="shared" si="102"/>
        <v>1</v>
      </c>
      <c r="BY176" s="11">
        <f t="shared" si="103"/>
        <v>0</v>
      </c>
      <c r="BZ176" s="11">
        <f t="shared" si="104"/>
        <v>0</v>
      </c>
      <c r="CA176" s="11">
        <f t="shared" si="105"/>
        <v>1</v>
      </c>
      <c r="CB176" s="42">
        <f t="shared" si="106"/>
        <v>0</v>
      </c>
      <c r="CC176" s="11">
        <f t="shared" si="107"/>
        <v>0</v>
      </c>
      <c r="CD176" s="11">
        <f t="shared" si="108"/>
        <v>0</v>
      </c>
      <c r="CE176" s="4"/>
      <c r="CF176" s="50">
        <f t="shared" si="109"/>
        <v>0</v>
      </c>
      <c r="CG176" s="50">
        <f t="shared" si="110"/>
        <v>0</v>
      </c>
      <c r="CH176" s="50">
        <f t="shared" si="111"/>
        <v>0</v>
      </c>
      <c r="CI176" s="50">
        <f t="shared" si="112"/>
        <v>0</v>
      </c>
      <c r="CJ176" s="50">
        <f t="shared" si="113"/>
        <v>0</v>
      </c>
      <c r="CK176" s="50">
        <f t="shared" si="114"/>
        <v>0</v>
      </c>
      <c r="CL176" s="50">
        <f t="shared" si="115"/>
        <v>0</v>
      </c>
      <c r="CM176" s="50">
        <f t="shared" si="116"/>
        <v>0</v>
      </c>
      <c r="CN176" s="50">
        <f t="shared" si="117"/>
        <v>0</v>
      </c>
      <c r="CO176" s="50">
        <f t="shared" si="118"/>
        <v>0</v>
      </c>
      <c r="CP176" s="50">
        <f t="shared" si="119"/>
        <v>0</v>
      </c>
      <c r="CQ176" s="50">
        <f t="shared" si="120"/>
        <v>0</v>
      </c>
      <c r="CR176"/>
    </row>
    <row r="177" spans="2:96" s="466" customFormat="1" ht="15.75" customHeight="1" x14ac:dyDescent="0.15">
      <c r="B177" s="59"/>
      <c r="D177" s="130">
        <v>21</v>
      </c>
      <c r="AA177" s="28" t="s">
        <v>701</v>
      </c>
      <c r="AB177" s="31" t="s">
        <v>1050</v>
      </c>
      <c r="AC177" s="247" t="s">
        <v>1445</v>
      </c>
      <c r="AD177" s="314" t="s">
        <v>110</v>
      </c>
      <c r="AE177" s="315" t="s">
        <v>1542</v>
      </c>
      <c r="AF177" s="316" t="s">
        <v>1432</v>
      </c>
      <c r="AG177" s="248" t="s">
        <v>1876</v>
      </c>
      <c r="AH177" s="248" t="s">
        <v>1876</v>
      </c>
      <c r="AI177" s="248" t="s">
        <v>122</v>
      </c>
      <c r="AJ177" s="317">
        <v>0</v>
      </c>
      <c r="AK177" s="315" t="s">
        <v>1545</v>
      </c>
      <c r="AL177" s="315">
        <v>0</v>
      </c>
      <c r="AM177" s="315">
        <v>0</v>
      </c>
      <c r="AN177" s="42">
        <f t="shared" si="81"/>
        <v>1</v>
      </c>
      <c r="AO177" s="318">
        <v>0</v>
      </c>
      <c r="AP177" s="318">
        <v>0</v>
      </c>
      <c r="AQ177" s="318">
        <v>1</v>
      </c>
      <c r="AR177" s="318">
        <v>0</v>
      </c>
      <c r="AS177" s="318">
        <v>0</v>
      </c>
      <c r="AT177" s="318">
        <v>1</v>
      </c>
      <c r="AU177" s="42">
        <f t="shared" si="82"/>
        <v>0</v>
      </c>
      <c r="AV177" s="318">
        <v>0</v>
      </c>
      <c r="AW177" s="318">
        <v>750</v>
      </c>
      <c r="AX177" s="315"/>
      <c r="AY177" s="636" t="s">
        <v>2095</v>
      </c>
      <c r="AZ177" s="319" t="s">
        <v>199</v>
      </c>
      <c r="BA177" s="319" t="s">
        <v>2041</v>
      </c>
      <c r="BB177" s="318">
        <v>0</v>
      </c>
      <c r="BC177" s="9"/>
      <c r="BD177" s="9"/>
      <c r="BE177" s="50">
        <f t="shared" si="83"/>
        <v>0</v>
      </c>
      <c r="BF177" s="50">
        <f t="shared" si="84"/>
        <v>0</v>
      </c>
      <c r="BG177" s="50">
        <f t="shared" si="85"/>
        <v>0</v>
      </c>
      <c r="BH177" s="50">
        <f t="shared" si="86"/>
        <v>0</v>
      </c>
      <c r="BI177" s="50">
        <f t="shared" si="87"/>
        <v>0</v>
      </c>
      <c r="BJ177" s="50">
        <f t="shared" si="88"/>
        <v>0</v>
      </c>
      <c r="BK177" s="50">
        <f t="shared" si="89"/>
        <v>0</v>
      </c>
      <c r="BL177" s="50">
        <f t="shared" si="90"/>
        <v>0</v>
      </c>
      <c r="BM177" s="50">
        <f t="shared" si="91"/>
        <v>0</v>
      </c>
      <c r="BN177" s="50">
        <f t="shared" si="92"/>
        <v>0</v>
      </c>
      <c r="BO177" s="50">
        <f t="shared" si="93"/>
        <v>0</v>
      </c>
      <c r="BP177" s="50">
        <f t="shared" si="94"/>
        <v>0</v>
      </c>
      <c r="BQ177" s="4" t="str">
        <f t="shared" si="95"/>
        <v>13,31 2025.08.16</v>
      </c>
      <c r="BR177" s="4" t="str">
        <f t="shared" si="96"/>
        <v>13,31 2025.08.16</v>
      </c>
      <c r="BS177" s="4" t="str">
        <f t="shared" si="97"/>
        <v>В</v>
      </c>
      <c r="BT177" s="10">
        <f t="shared" si="98"/>
        <v>0</v>
      </c>
      <c r="BU177" s="42">
        <f t="shared" si="99"/>
        <v>1</v>
      </c>
      <c r="BV177" s="11">
        <f t="shared" si="100"/>
        <v>0</v>
      </c>
      <c r="BW177" s="11">
        <f t="shared" si="101"/>
        <v>0</v>
      </c>
      <c r="BX177" s="11">
        <f t="shared" si="102"/>
        <v>1</v>
      </c>
      <c r="BY177" s="11">
        <f t="shared" si="103"/>
        <v>0</v>
      </c>
      <c r="BZ177" s="11">
        <f t="shared" si="104"/>
        <v>0</v>
      </c>
      <c r="CA177" s="11">
        <f t="shared" si="105"/>
        <v>1</v>
      </c>
      <c r="CB177" s="42">
        <f t="shared" si="106"/>
        <v>0</v>
      </c>
      <c r="CC177" s="11">
        <f t="shared" si="107"/>
        <v>0</v>
      </c>
      <c r="CD177" s="11">
        <f t="shared" si="108"/>
        <v>0</v>
      </c>
      <c r="CE177" s="4"/>
      <c r="CF177" s="50">
        <f t="shared" si="109"/>
        <v>0</v>
      </c>
      <c r="CG177" s="50">
        <f t="shared" si="110"/>
        <v>0</v>
      </c>
      <c r="CH177" s="50">
        <f t="shared" si="111"/>
        <v>0</v>
      </c>
      <c r="CI177" s="50">
        <f t="shared" si="112"/>
        <v>0</v>
      </c>
      <c r="CJ177" s="50">
        <f t="shared" si="113"/>
        <v>0</v>
      </c>
      <c r="CK177" s="50">
        <f t="shared" si="114"/>
        <v>0</v>
      </c>
      <c r="CL177" s="50">
        <f t="shared" si="115"/>
        <v>0</v>
      </c>
      <c r="CM177" s="50">
        <f t="shared" si="116"/>
        <v>0</v>
      </c>
      <c r="CN177" s="50">
        <f t="shared" si="117"/>
        <v>0</v>
      </c>
      <c r="CO177" s="50">
        <f t="shared" si="118"/>
        <v>0</v>
      </c>
      <c r="CP177" s="50">
        <f t="shared" si="119"/>
        <v>0</v>
      </c>
      <c r="CQ177" s="50">
        <f t="shared" si="120"/>
        <v>0</v>
      </c>
      <c r="CR177"/>
    </row>
    <row r="178" spans="2:96" s="467" customFormat="1" ht="15.75" customHeight="1" x14ac:dyDescent="0.15">
      <c r="B178" s="59"/>
      <c r="D178" s="130">
        <v>21</v>
      </c>
      <c r="AA178" s="28" t="s">
        <v>701</v>
      </c>
      <c r="AB178" s="31" t="s">
        <v>1051</v>
      </c>
      <c r="AC178" s="247" t="s">
        <v>1445</v>
      </c>
      <c r="AD178" s="314" t="s">
        <v>110</v>
      </c>
      <c r="AE178" s="315" t="s">
        <v>1542</v>
      </c>
      <c r="AF178" s="316" t="s">
        <v>1432</v>
      </c>
      <c r="AG178" s="248" t="s">
        <v>1877</v>
      </c>
      <c r="AH178" s="248" t="s">
        <v>1878</v>
      </c>
      <c r="AI178" s="248" t="s">
        <v>100</v>
      </c>
      <c r="AJ178" s="317">
        <v>0.13333333341870501</v>
      </c>
      <c r="AK178" s="315" t="s">
        <v>1545</v>
      </c>
      <c r="AL178" s="315">
        <v>0</v>
      </c>
      <c r="AM178" s="315">
        <v>0</v>
      </c>
      <c r="AN178" s="42">
        <f t="shared" si="81"/>
        <v>2</v>
      </c>
      <c r="AO178" s="318">
        <v>0</v>
      </c>
      <c r="AP178" s="318">
        <v>0</v>
      </c>
      <c r="AQ178" s="318">
        <v>2</v>
      </c>
      <c r="AR178" s="318">
        <v>0</v>
      </c>
      <c r="AS178" s="318">
        <v>0</v>
      </c>
      <c r="AT178" s="318">
        <v>2</v>
      </c>
      <c r="AU178" s="42">
        <f t="shared" si="82"/>
        <v>0</v>
      </c>
      <c r="AV178" s="318">
        <v>0</v>
      </c>
      <c r="AW178" s="318">
        <v>780</v>
      </c>
      <c r="AX178" s="315"/>
      <c r="AY178" s="636"/>
      <c r="AZ178" s="319"/>
      <c r="BA178" s="319"/>
      <c r="BB178" s="318">
        <v>1</v>
      </c>
      <c r="BC178" s="9"/>
      <c r="BD178" s="9"/>
      <c r="BE178" s="50">
        <f t="shared" si="83"/>
        <v>0</v>
      </c>
      <c r="BF178" s="50">
        <f t="shared" si="84"/>
        <v>0</v>
      </c>
      <c r="BG178" s="50">
        <f t="shared" si="85"/>
        <v>0.26666666683741003</v>
      </c>
      <c r="BH178" s="50">
        <f t="shared" si="86"/>
        <v>2</v>
      </c>
      <c r="BI178" s="50">
        <f t="shared" si="87"/>
        <v>0</v>
      </c>
      <c r="BJ178" s="50">
        <f t="shared" si="88"/>
        <v>0</v>
      </c>
      <c r="BK178" s="50">
        <f t="shared" si="89"/>
        <v>0</v>
      </c>
      <c r="BL178" s="50">
        <f t="shared" si="90"/>
        <v>0</v>
      </c>
      <c r="BM178" s="50">
        <f t="shared" si="91"/>
        <v>0.26666666683741003</v>
      </c>
      <c r="BN178" s="50">
        <f t="shared" si="92"/>
        <v>2</v>
      </c>
      <c r="BO178" s="50">
        <f t="shared" si="93"/>
        <v>0</v>
      </c>
      <c r="BP178" s="50">
        <f t="shared" si="94"/>
        <v>0</v>
      </c>
      <c r="BQ178" s="4" t="str">
        <f t="shared" si="95"/>
        <v>17,37 2025.08.16</v>
      </c>
      <c r="BR178" s="4" t="str">
        <f t="shared" si="96"/>
        <v>17,45 2025.08.16</v>
      </c>
      <c r="BS178" s="4" t="str">
        <f t="shared" si="97"/>
        <v>П</v>
      </c>
      <c r="BT178" s="10">
        <f t="shared" si="98"/>
        <v>0.13333333341870501</v>
      </c>
      <c r="BU178" s="42">
        <f t="shared" si="99"/>
        <v>2</v>
      </c>
      <c r="BV178" s="11">
        <f t="shared" si="100"/>
        <v>0</v>
      </c>
      <c r="BW178" s="11">
        <f t="shared" si="101"/>
        <v>0</v>
      </c>
      <c r="BX178" s="11">
        <f t="shared" si="102"/>
        <v>2</v>
      </c>
      <c r="BY178" s="11">
        <f t="shared" si="103"/>
        <v>0</v>
      </c>
      <c r="BZ178" s="11">
        <f t="shared" si="104"/>
        <v>0</v>
      </c>
      <c r="CA178" s="11">
        <f t="shared" si="105"/>
        <v>2</v>
      </c>
      <c r="CB178" s="42">
        <f t="shared" si="106"/>
        <v>0</v>
      </c>
      <c r="CC178" s="11">
        <f t="shared" si="107"/>
        <v>0</v>
      </c>
      <c r="CD178" s="11">
        <f t="shared" si="108"/>
        <v>1</v>
      </c>
      <c r="CE178" s="4"/>
      <c r="CF178" s="50">
        <f t="shared" si="109"/>
        <v>0</v>
      </c>
      <c r="CG178" s="50">
        <f t="shared" si="110"/>
        <v>0</v>
      </c>
      <c r="CH178" s="50">
        <f t="shared" si="111"/>
        <v>0.26666666683741003</v>
      </c>
      <c r="CI178" s="50">
        <f t="shared" si="112"/>
        <v>2</v>
      </c>
      <c r="CJ178" s="50">
        <f t="shared" si="113"/>
        <v>0</v>
      </c>
      <c r="CK178" s="50">
        <f t="shared" si="114"/>
        <v>0</v>
      </c>
      <c r="CL178" s="50">
        <f t="shared" si="115"/>
        <v>0</v>
      </c>
      <c r="CM178" s="50">
        <f t="shared" si="116"/>
        <v>0</v>
      </c>
      <c r="CN178" s="50">
        <f t="shared" si="117"/>
        <v>0.26666666683741003</v>
      </c>
      <c r="CO178" s="50">
        <f t="shared" si="118"/>
        <v>2</v>
      </c>
      <c r="CP178" s="50">
        <f t="shared" si="119"/>
        <v>0</v>
      </c>
      <c r="CQ178" s="50">
        <f t="shared" si="120"/>
        <v>0</v>
      </c>
      <c r="CR178"/>
    </row>
    <row r="179" spans="2:96" s="468" customFormat="1" ht="15.75" customHeight="1" x14ac:dyDescent="0.15">
      <c r="B179" s="59"/>
      <c r="D179" s="130">
        <v>21</v>
      </c>
      <c r="AA179" s="28" t="s">
        <v>701</v>
      </c>
      <c r="AB179" s="31" t="s">
        <v>1052</v>
      </c>
      <c r="AC179" s="247" t="s">
        <v>1445</v>
      </c>
      <c r="AD179" s="314" t="s">
        <v>110</v>
      </c>
      <c r="AE179" s="315" t="s">
        <v>1879</v>
      </c>
      <c r="AF179" s="316" t="s">
        <v>1432</v>
      </c>
      <c r="AG179" s="248" t="s">
        <v>1880</v>
      </c>
      <c r="AH179" s="248" t="s">
        <v>1881</v>
      </c>
      <c r="AI179" s="248" t="s">
        <v>100</v>
      </c>
      <c r="AJ179" s="317">
        <v>1.19999999989523</v>
      </c>
      <c r="AK179" s="315" t="s">
        <v>1882</v>
      </c>
      <c r="AL179" s="315">
        <v>0</v>
      </c>
      <c r="AM179" s="315">
        <v>0</v>
      </c>
      <c r="AN179" s="42">
        <f t="shared" si="81"/>
        <v>2</v>
      </c>
      <c r="AO179" s="318">
        <v>0</v>
      </c>
      <c r="AP179" s="318">
        <v>0</v>
      </c>
      <c r="AQ179" s="318">
        <v>2</v>
      </c>
      <c r="AR179" s="318">
        <v>0</v>
      </c>
      <c r="AS179" s="318">
        <v>0</v>
      </c>
      <c r="AT179" s="318">
        <v>2</v>
      </c>
      <c r="AU179" s="42">
        <f t="shared" si="82"/>
        <v>0</v>
      </c>
      <c r="AV179" s="318">
        <v>0</v>
      </c>
      <c r="AW179" s="318">
        <v>200</v>
      </c>
      <c r="AX179" s="315"/>
      <c r="AY179" s="636"/>
      <c r="AZ179" s="319"/>
      <c r="BA179" s="319"/>
      <c r="BB179" s="318">
        <v>1</v>
      </c>
      <c r="BC179" s="9"/>
      <c r="BD179" s="9"/>
      <c r="BE179" s="50">
        <f t="shared" si="83"/>
        <v>0</v>
      </c>
      <c r="BF179" s="50">
        <f t="shared" si="84"/>
        <v>0</v>
      </c>
      <c r="BG179" s="50">
        <f t="shared" si="85"/>
        <v>2.39999999979046</v>
      </c>
      <c r="BH179" s="50">
        <f t="shared" si="86"/>
        <v>2</v>
      </c>
      <c r="BI179" s="50">
        <f t="shared" si="87"/>
        <v>0</v>
      </c>
      <c r="BJ179" s="50">
        <f t="shared" si="88"/>
        <v>0</v>
      </c>
      <c r="BK179" s="50">
        <f t="shared" si="89"/>
        <v>0</v>
      </c>
      <c r="BL179" s="50">
        <f t="shared" si="90"/>
        <v>0</v>
      </c>
      <c r="BM179" s="50">
        <f t="shared" si="91"/>
        <v>2.39999999979046</v>
      </c>
      <c r="BN179" s="50">
        <f t="shared" si="92"/>
        <v>2</v>
      </c>
      <c r="BO179" s="50">
        <f t="shared" si="93"/>
        <v>0</v>
      </c>
      <c r="BP179" s="50">
        <f t="shared" si="94"/>
        <v>0</v>
      </c>
      <c r="BQ179" s="4" t="str">
        <f t="shared" si="95"/>
        <v>19,12 2025.08.16</v>
      </c>
      <c r="BR179" s="4" t="str">
        <f t="shared" si="96"/>
        <v>20,24 2025.08.16</v>
      </c>
      <c r="BS179" s="4" t="str">
        <f t="shared" si="97"/>
        <v>П</v>
      </c>
      <c r="BT179" s="10">
        <f t="shared" si="98"/>
        <v>1.19999999989523</v>
      </c>
      <c r="BU179" s="42">
        <f t="shared" si="99"/>
        <v>2</v>
      </c>
      <c r="BV179" s="11">
        <f t="shared" si="100"/>
        <v>0</v>
      </c>
      <c r="BW179" s="11">
        <f t="shared" si="101"/>
        <v>0</v>
      </c>
      <c r="BX179" s="11">
        <f t="shared" si="102"/>
        <v>2</v>
      </c>
      <c r="BY179" s="11">
        <f t="shared" si="103"/>
        <v>0</v>
      </c>
      <c r="BZ179" s="11">
        <f t="shared" si="104"/>
        <v>0</v>
      </c>
      <c r="CA179" s="11">
        <f t="shared" si="105"/>
        <v>2</v>
      </c>
      <c r="CB179" s="42">
        <f t="shared" si="106"/>
        <v>0</v>
      </c>
      <c r="CC179" s="11">
        <f t="shared" si="107"/>
        <v>0</v>
      </c>
      <c r="CD179" s="11">
        <f t="shared" si="108"/>
        <v>1</v>
      </c>
      <c r="CE179" s="4"/>
      <c r="CF179" s="50">
        <f t="shared" si="109"/>
        <v>0</v>
      </c>
      <c r="CG179" s="50">
        <f t="shared" si="110"/>
        <v>0</v>
      </c>
      <c r="CH179" s="50">
        <f t="shared" si="111"/>
        <v>2.39999999979046</v>
      </c>
      <c r="CI179" s="50">
        <f t="shared" si="112"/>
        <v>2</v>
      </c>
      <c r="CJ179" s="50">
        <f t="shared" si="113"/>
        <v>0</v>
      </c>
      <c r="CK179" s="50">
        <f t="shared" si="114"/>
        <v>0</v>
      </c>
      <c r="CL179" s="50">
        <f t="shared" si="115"/>
        <v>0</v>
      </c>
      <c r="CM179" s="50">
        <f t="shared" si="116"/>
        <v>0</v>
      </c>
      <c r="CN179" s="50">
        <f t="shared" si="117"/>
        <v>2.39999999979046</v>
      </c>
      <c r="CO179" s="50">
        <f t="shared" si="118"/>
        <v>2</v>
      </c>
      <c r="CP179" s="50">
        <f t="shared" si="119"/>
        <v>0</v>
      </c>
      <c r="CQ179" s="50">
        <f t="shared" si="120"/>
        <v>0</v>
      </c>
      <c r="CR179"/>
    </row>
    <row r="180" spans="2:96" s="469" customFormat="1" ht="15.75" customHeight="1" x14ac:dyDescent="0.15">
      <c r="B180" s="59"/>
      <c r="D180" s="130">
        <v>21</v>
      </c>
      <c r="AA180" s="28" t="s">
        <v>701</v>
      </c>
      <c r="AB180" s="31" t="s">
        <v>1053</v>
      </c>
      <c r="AC180" s="247" t="s">
        <v>1627</v>
      </c>
      <c r="AD180" s="314" t="s">
        <v>110</v>
      </c>
      <c r="AE180" s="315" t="s">
        <v>1883</v>
      </c>
      <c r="AF180" s="316" t="s">
        <v>1495</v>
      </c>
      <c r="AG180" s="248" t="s">
        <v>1884</v>
      </c>
      <c r="AH180" s="248" t="s">
        <v>1884</v>
      </c>
      <c r="AI180" s="248" t="s">
        <v>122</v>
      </c>
      <c r="AJ180" s="317">
        <v>0</v>
      </c>
      <c r="AK180" s="315" t="s">
        <v>1885</v>
      </c>
      <c r="AL180" s="315">
        <v>0</v>
      </c>
      <c r="AM180" s="315">
        <v>0</v>
      </c>
      <c r="AN180" s="42">
        <f t="shared" si="81"/>
        <v>1</v>
      </c>
      <c r="AO180" s="318">
        <v>0</v>
      </c>
      <c r="AP180" s="318">
        <v>0</v>
      </c>
      <c r="AQ180" s="318">
        <v>1</v>
      </c>
      <c r="AR180" s="318">
        <v>0</v>
      </c>
      <c r="AS180" s="318">
        <v>0</v>
      </c>
      <c r="AT180" s="318">
        <v>1</v>
      </c>
      <c r="AU180" s="42">
        <f t="shared" si="82"/>
        <v>0</v>
      </c>
      <c r="AV180" s="318">
        <v>0</v>
      </c>
      <c r="AW180" s="318">
        <v>0</v>
      </c>
      <c r="AX180" s="315"/>
      <c r="AY180" s="636" t="s">
        <v>2098</v>
      </c>
      <c r="AZ180" s="319" t="s">
        <v>199</v>
      </c>
      <c r="BA180" s="319" t="s">
        <v>2041</v>
      </c>
      <c r="BB180" s="318">
        <v>0</v>
      </c>
      <c r="BC180" s="9"/>
      <c r="BD180" s="9"/>
      <c r="BE180" s="50">
        <f t="shared" si="83"/>
        <v>0</v>
      </c>
      <c r="BF180" s="50">
        <f t="shared" si="84"/>
        <v>0</v>
      </c>
      <c r="BG180" s="50">
        <f t="shared" si="85"/>
        <v>0</v>
      </c>
      <c r="BH180" s="50">
        <f t="shared" si="86"/>
        <v>0</v>
      </c>
      <c r="BI180" s="50">
        <f t="shared" si="87"/>
        <v>0</v>
      </c>
      <c r="BJ180" s="50">
        <f t="shared" si="88"/>
        <v>0</v>
      </c>
      <c r="BK180" s="50">
        <f t="shared" si="89"/>
        <v>0</v>
      </c>
      <c r="BL180" s="50">
        <f t="shared" si="90"/>
        <v>0</v>
      </c>
      <c r="BM180" s="50">
        <f t="shared" si="91"/>
        <v>0</v>
      </c>
      <c r="BN180" s="50">
        <f t="shared" si="92"/>
        <v>0</v>
      </c>
      <c r="BO180" s="50">
        <f t="shared" si="93"/>
        <v>0</v>
      </c>
      <c r="BP180" s="50">
        <f t="shared" si="94"/>
        <v>0</v>
      </c>
      <c r="BQ180" s="4" t="str">
        <f t="shared" si="95"/>
        <v>15,44 2025.08.17</v>
      </c>
      <c r="BR180" s="4" t="str">
        <f t="shared" si="96"/>
        <v>15,44 2025.08.17</v>
      </c>
      <c r="BS180" s="4" t="str">
        <f t="shared" si="97"/>
        <v>В</v>
      </c>
      <c r="BT180" s="10">
        <f t="shared" si="98"/>
        <v>0</v>
      </c>
      <c r="BU180" s="42">
        <f t="shared" si="99"/>
        <v>1</v>
      </c>
      <c r="BV180" s="11">
        <f t="shared" si="100"/>
        <v>0</v>
      </c>
      <c r="BW180" s="11">
        <f t="shared" si="101"/>
        <v>0</v>
      </c>
      <c r="BX180" s="11">
        <f t="shared" si="102"/>
        <v>1</v>
      </c>
      <c r="BY180" s="11">
        <f t="shared" si="103"/>
        <v>0</v>
      </c>
      <c r="BZ180" s="11">
        <f t="shared" si="104"/>
        <v>0</v>
      </c>
      <c r="CA180" s="11">
        <f t="shared" si="105"/>
        <v>1</v>
      </c>
      <c r="CB180" s="42">
        <f t="shared" si="106"/>
        <v>0</v>
      </c>
      <c r="CC180" s="11">
        <f t="shared" si="107"/>
        <v>0</v>
      </c>
      <c r="CD180" s="11">
        <f t="shared" si="108"/>
        <v>0</v>
      </c>
      <c r="CE180" s="4"/>
      <c r="CF180" s="50">
        <f t="shared" si="109"/>
        <v>0</v>
      </c>
      <c r="CG180" s="50">
        <f t="shared" si="110"/>
        <v>0</v>
      </c>
      <c r="CH180" s="50">
        <f t="shared" si="111"/>
        <v>0</v>
      </c>
      <c r="CI180" s="50">
        <f t="shared" si="112"/>
        <v>0</v>
      </c>
      <c r="CJ180" s="50">
        <f t="shared" si="113"/>
        <v>0</v>
      </c>
      <c r="CK180" s="50">
        <f t="shared" si="114"/>
        <v>0</v>
      </c>
      <c r="CL180" s="50">
        <f t="shared" si="115"/>
        <v>0</v>
      </c>
      <c r="CM180" s="50">
        <f t="shared" si="116"/>
        <v>0</v>
      </c>
      <c r="CN180" s="50">
        <f t="shared" si="117"/>
        <v>0</v>
      </c>
      <c r="CO180" s="50">
        <f t="shared" si="118"/>
        <v>0</v>
      </c>
      <c r="CP180" s="50">
        <f t="shared" si="119"/>
        <v>0</v>
      </c>
      <c r="CQ180" s="50">
        <f t="shared" si="120"/>
        <v>0</v>
      </c>
      <c r="CR180"/>
    </row>
    <row r="181" spans="2:96" s="470" customFormat="1" ht="15.75" customHeight="1" x14ac:dyDescent="0.15">
      <c r="B181" s="59"/>
      <c r="D181" s="130">
        <v>21</v>
      </c>
      <c r="AA181" s="28" t="s">
        <v>701</v>
      </c>
      <c r="AB181" s="31" t="s">
        <v>1054</v>
      </c>
      <c r="AC181" s="247" t="s">
        <v>1445</v>
      </c>
      <c r="AD181" s="314" t="s">
        <v>110</v>
      </c>
      <c r="AE181" s="315" t="s">
        <v>1588</v>
      </c>
      <c r="AF181" s="316" t="s">
        <v>1432</v>
      </c>
      <c r="AG181" s="248" t="s">
        <v>1886</v>
      </c>
      <c r="AH181" s="248" t="s">
        <v>1887</v>
      </c>
      <c r="AI181" s="248" t="s">
        <v>100</v>
      </c>
      <c r="AJ181" s="317">
        <v>1.7166666666744299</v>
      </c>
      <c r="AK181" s="315" t="s">
        <v>1591</v>
      </c>
      <c r="AL181" s="315">
        <v>0</v>
      </c>
      <c r="AM181" s="315">
        <v>0</v>
      </c>
      <c r="AN181" s="42">
        <f t="shared" si="81"/>
        <v>2</v>
      </c>
      <c r="AO181" s="318">
        <v>0</v>
      </c>
      <c r="AP181" s="318">
        <v>0</v>
      </c>
      <c r="AQ181" s="318">
        <v>2</v>
      </c>
      <c r="AR181" s="318">
        <v>0</v>
      </c>
      <c r="AS181" s="318">
        <v>0</v>
      </c>
      <c r="AT181" s="318">
        <v>2</v>
      </c>
      <c r="AU181" s="42">
        <f t="shared" si="82"/>
        <v>0</v>
      </c>
      <c r="AV181" s="318">
        <v>0</v>
      </c>
      <c r="AW181" s="318">
        <v>300</v>
      </c>
      <c r="AX181" s="315"/>
      <c r="AY181" s="636"/>
      <c r="AZ181" s="319"/>
      <c r="BA181" s="319"/>
      <c r="BB181" s="318">
        <v>1</v>
      </c>
      <c r="BC181" s="9"/>
      <c r="BD181" s="9"/>
      <c r="BE181" s="50">
        <f t="shared" si="83"/>
        <v>0</v>
      </c>
      <c r="BF181" s="50">
        <f t="shared" si="84"/>
        <v>0</v>
      </c>
      <c r="BG181" s="50">
        <f t="shared" si="85"/>
        <v>3.4333333333488598</v>
      </c>
      <c r="BH181" s="50">
        <f t="shared" si="86"/>
        <v>2</v>
      </c>
      <c r="BI181" s="50">
        <f t="shared" si="87"/>
        <v>0</v>
      </c>
      <c r="BJ181" s="50">
        <f t="shared" si="88"/>
        <v>0</v>
      </c>
      <c r="BK181" s="50">
        <f t="shared" si="89"/>
        <v>0</v>
      </c>
      <c r="BL181" s="50">
        <f t="shared" si="90"/>
        <v>0</v>
      </c>
      <c r="BM181" s="50">
        <f t="shared" si="91"/>
        <v>3.4333333333488598</v>
      </c>
      <c r="BN181" s="50">
        <f t="shared" si="92"/>
        <v>2</v>
      </c>
      <c r="BO181" s="50">
        <f t="shared" si="93"/>
        <v>0</v>
      </c>
      <c r="BP181" s="50">
        <f t="shared" si="94"/>
        <v>0</v>
      </c>
      <c r="BQ181" s="4" t="str">
        <f t="shared" si="95"/>
        <v>10,55 2025.08.19</v>
      </c>
      <c r="BR181" s="4" t="str">
        <f t="shared" si="96"/>
        <v>12,38 2025.08.19</v>
      </c>
      <c r="BS181" s="4" t="str">
        <f t="shared" si="97"/>
        <v>П</v>
      </c>
      <c r="BT181" s="10">
        <f t="shared" si="98"/>
        <v>1.7166666666744299</v>
      </c>
      <c r="BU181" s="42">
        <f t="shared" si="99"/>
        <v>2</v>
      </c>
      <c r="BV181" s="11">
        <f t="shared" si="100"/>
        <v>0</v>
      </c>
      <c r="BW181" s="11">
        <f t="shared" si="101"/>
        <v>0</v>
      </c>
      <c r="BX181" s="11">
        <f t="shared" si="102"/>
        <v>2</v>
      </c>
      <c r="BY181" s="11">
        <f t="shared" si="103"/>
        <v>0</v>
      </c>
      <c r="BZ181" s="11">
        <f t="shared" si="104"/>
        <v>0</v>
      </c>
      <c r="CA181" s="11">
        <f t="shared" si="105"/>
        <v>2</v>
      </c>
      <c r="CB181" s="42">
        <f t="shared" si="106"/>
        <v>0</v>
      </c>
      <c r="CC181" s="11">
        <f t="shared" si="107"/>
        <v>0</v>
      </c>
      <c r="CD181" s="11">
        <f t="shared" si="108"/>
        <v>1</v>
      </c>
      <c r="CE181" s="4"/>
      <c r="CF181" s="50">
        <f t="shared" si="109"/>
        <v>0</v>
      </c>
      <c r="CG181" s="50">
        <f t="shared" si="110"/>
        <v>0</v>
      </c>
      <c r="CH181" s="50">
        <f t="shared" si="111"/>
        <v>3.4333333333488598</v>
      </c>
      <c r="CI181" s="50">
        <f t="shared" si="112"/>
        <v>2</v>
      </c>
      <c r="CJ181" s="50">
        <f t="shared" si="113"/>
        <v>0</v>
      </c>
      <c r="CK181" s="50">
        <f t="shared" si="114"/>
        <v>0</v>
      </c>
      <c r="CL181" s="50">
        <f t="shared" si="115"/>
        <v>0</v>
      </c>
      <c r="CM181" s="50">
        <f t="shared" si="116"/>
        <v>0</v>
      </c>
      <c r="CN181" s="50">
        <f t="shared" si="117"/>
        <v>3.4333333333488598</v>
      </c>
      <c r="CO181" s="50">
        <f t="shared" si="118"/>
        <v>2</v>
      </c>
      <c r="CP181" s="50">
        <f t="shared" si="119"/>
        <v>0</v>
      </c>
      <c r="CQ181" s="50">
        <f t="shared" si="120"/>
        <v>0</v>
      </c>
      <c r="CR181"/>
    </row>
    <row r="182" spans="2:96" s="471" customFormat="1" ht="15.75" customHeight="1" x14ac:dyDescent="0.15">
      <c r="B182" s="59"/>
      <c r="D182" s="130">
        <v>21</v>
      </c>
      <c r="AA182" s="28" t="s">
        <v>701</v>
      </c>
      <c r="AB182" s="31" t="s">
        <v>1055</v>
      </c>
      <c r="AC182" s="247" t="s">
        <v>1445</v>
      </c>
      <c r="AD182" s="314" t="s">
        <v>110</v>
      </c>
      <c r="AE182" s="315" t="s">
        <v>1636</v>
      </c>
      <c r="AF182" s="316" t="s">
        <v>1432</v>
      </c>
      <c r="AG182" s="248" t="s">
        <v>1888</v>
      </c>
      <c r="AH182" s="248" t="s">
        <v>1889</v>
      </c>
      <c r="AI182" s="248" t="s">
        <v>100</v>
      </c>
      <c r="AJ182" s="317">
        <v>1.3666666665813001</v>
      </c>
      <c r="AK182" s="315" t="s">
        <v>1639</v>
      </c>
      <c r="AL182" s="315">
        <v>0</v>
      </c>
      <c r="AM182" s="315">
        <v>0</v>
      </c>
      <c r="AN182" s="42">
        <f t="shared" si="81"/>
        <v>1</v>
      </c>
      <c r="AO182" s="318">
        <v>0</v>
      </c>
      <c r="AP182" s="318">
        <v>0</v>
      </c>
      <c r="AQ182" s="318">
        <v>1</v>
      </c>
      <c r="AR182" s="318">
        <v>0</v>
      </c>
      <c r="AS182" s="318">
        <v>0</v>
      </c>
      <c r="AT182" s="318">
        <v>1</v>
      </c>
      <c r="AU182" s="42">
        <f t="shared" si="82"/>
        <v>0</v>
      </c>
      <c r="AV182" s="318">
        <v>0</v>
      </c>
      <c r="AW182" s="318">
        <v>740</v>
      </c>
      <c r="AX182" s="315"/>
      <c r="AY182" s="636"/>
      <c r="AZ182" s="319"/>
      <c r="BA182" s="319"/>
      <c r="BB182" s="318">
        <v>1</v>
      </c>
      <c r="BC182" s="9"/>
      <c r="BD182" s="9"/>
      <c r="BE182" s="50">
        <f t="shared" si="83"/>
        <v>0</v>
      </c>
      <c r="BF182" s="50">
        <f t="shared" si="84"/>
        <v>0</v>
      </c>
      <c r="BG182" s="50">
        <f t="shared" si="85"/>
        <v>1.3666666665813001</v>
      </c>
      <c r="BH182" s="50">
        <f t="shared" si="86"/>
        <v>1</v>
      </c>
      <c r="BI182" s="50">
        <f t="shared" si="87"/>
        <v>0</v>
      </c>
      <c r="BJ182" s="50">
        <f t="shared" si="88"/>
        <v>0</v>
      </c>
      <c r="BK182" s="50">
        <f t="shared" si="89"/>
        <v>0</v>
      </c>
      <c r="BL182" s="50">
        <f t="shared" si="90"/>
        <v>0</v>
      </c>
      <c r="BM182" s="50">
        <f t="shared" si="91"/>
        <v>1.3666666665813001</v>
      </c>
      <c r="BN182" s="50">
        <f t="shared" si="92"/>
        <v>1</v>
      </c>
      <c r="BO182" s="50">
        <f t="shared" si="93"/>
        <v>0</v>
      </c>
      <c r="BP182" s="50">
        <f t="shared" si="94"/>
        <v>0</v>
      </c>
      <c r="BQ182" s="4" t="str">
        <f t="shared" si="95"/>
        <v>11,00 2025.08.20</v>
      </c>
      <c r="BR182" s="4" t="str">
        <f t="shared" si="96"/>
        <v>12,22 2025.08.20</v>
      </c>
      <c r="BS182" s="4" t="str">
        <f t="shared" si="97"/>
        <v>П</v>
      </c>
      <c r="BT182" s="10">
        <f t="shared" si="98"/>
        <v>1.3666666665813001</v>
      </c>
      <c r="BU182" s="42">
        <f t="shared" si="99"/>
        <v>1</v>
      </c>
      <c r="BV182" s="11">
        <f t="shared" si="100"/>
        <v>0</v>
      </c>
      <c r="BW182" s="11">
        <f t="shared" si="101"/>
        <v>0</v>
      </c>
      <c r="BX182" s="11">
        <f t="shared" si="102"/>
        <v>1</v>
      </c>
      <c r="BY182" s="11">
        <f t="shared" si="103"/>
        <v>0</v>
      </c>
      <c r="BZ182" s="11">
        <f t="shared" si="104"/>
        <v>0</v>
      </c>
      <c r="CA182" s="11">
        <f t="shared" si="105"/>
        <v>1</v>
      </c>
      <c r="CB182" s="42">
        <f t="shared" si="106"/>
        <v>0</v>
      </c>
      <c r="CC182" s="11">
        <f t="shared" si="107"/>
        <v>0</v>
      </c>
      <c r="CD182" s="11">
        <f t="shared" si="108"/>
        <v>1</v>
      </c>
      <c r="CE182" s="4"/>
      <c r="CF182" s="50">
        <f t="shared" si="109"/>
        <v>0</v>
      </c>
      <c r="CG182" s="50">
        <f t="shared" si="110"/>
        <v>0</v>
      </c>
      <c r="CH182" s="50">
        <f t="shared" si="111"/>
        <v>1.3666666665813001</v>
      </c>
      <c r="CI182" s="50">
        <f t="shared" si="112"/>
        <v>1</v>
      </c>
      <c r="CJ182" s="50">
        <f t="shared" si="113"/>
        <v>0</v>
      </c>
      <c r="CK182" s="50">
        <f t="shared" si="114"/>
        <v>0</v>
      </c>
      <c r="CL182" s="50">
        <f t="shared" si="115"/>
        <v>0</v>
      </c>
      <c r="CM182" s="50">
        <f t="shared" si="116"/>
        <v>0</v>
      </c>
      <c r="CN182" s="50">
        <f t="shared" si="117"/>
        <v>1.3666666665813001</v>
      </c>
      <c r="CO182" s="50">
        <f t="shared" si="118"/>
        <v>1</v>
      </c>
      <c r="CP182" s="50">
        <f t="shared" si="119"/>
        <v>0</v>
      </c>
      <c r="CQ182" s="50">
        <f t="shared" si="120"/>
        <v>0</v>
      </c>
      <c r="CR182"/>
    </row>
    <row r="183" spans="2:96" s="472" customFormat="1" ht="15.75" customHeight="1" x14ac:dyDescent="0.15">
      <c r="B183" s="59"/>
      <c r="D183" s="130">
        <v>21</v>
      </c>
      <c r="AA183" s="28" t="s">
        <v>701</v>
      </c>
      <c r="AB183" s="31" t="s">
        <v>1056</v>
      </c>
      <c r="AC183" s="247" t="s">
        <v>1627</v>
      </c>
      <c r="AD183" s="314" t="s">
        <v>110</v>
      </c>
      <c r="AE183" s="315" t="s">
        <v>1890</v>
      </c>
      <c r="AF183" s="316" t="s">
        <v>1432</v>
      </c>
      <c r="AG183" s="248" t="s">
        <v>1891</v>
      </c>
      <c r="AH183" s="248" t="s">
        <v>1892</v>
      </c>
      <c r="AI183" s="248" t="s">
        <v>100</v>
      </c>
      <c r="AJ183" s="317">
        <v>10.2666666666046</v>
      </c>
      <c r="AK183" s="315" t="s">
        <v>1893</v>
      </c>
      <c r="AL183" s="315">
        <v>0</v>
      </c>
      <c r="AM183" s="315">
        <v>0</v>
      </c>
      <c r="AN183" s="42">
        <f t="shared" si="81"/>
        <v>2</v>
      </c>
      <c r="AO183" s="318">
        <v>0</v>
      </c>
      <c r="AP183" s="318">
        <v>0</v>
      </c>
      <c r="AQ183" s="318">
        <v>2</v>
      </c>
      <c r="AR183" s="318">
        <v>0</v>
      </c>
      <c r="AS183" s="318">
        <v>0</v>
      </c>
      <c r="AT183" s="318">
        <v>2</v>
      </c>
      <c r="AU183" s="42">
        <f t="shared" si="82"/>
        <v>0</v>
      </c>
      <c r="AV183" s="318">
        <v>0</v>
      </c>
      <c r="AW183" s="318">
        <v>120</v>
      </c>
      <c r="AX183" s="315"/>
      <c r="AY183" s="636"/>
      <c r="AZ183" s="319"/>
      <c r="BA183" s="319"/>
      <c r="BB183" s="318">
        <v>1</v>
      </c>
      <c r="BC183" s="9"/>
      <c r="BD183" s="9"/>
      <c r="BE183" s="50">
        <f t="shared" si="83"/>
        <v>0</v>
      </c>
      <c r="BF183" s="50">
        <f t="shared" si="84"/>
        <v>0</v>
      </c>
      <c r="BG183" s="50">
        <f t="shared" si="85"/>
        <v>20.5333333332092</v>
      </c>
      <c r="BH183" s="50">
        <f t="shared" si="86"/>
        <v>2</v>
      </c>
      <c r="BI183" s="50">
        <f t="shared" si="87"/>
        <v>0</v>
      </c>
      <c r="BJ183" s="50">
        <f t="shared" si="88"/>
        <v>0</v>
      </c>
      <c r="BK183" s="50">
        <f t="shared" si="89"/>
        <v>0</v>
      </c>
      <c r="BL183" s="50">
        <f t="shared" si="90"/>
        <v>0</v>
      </c>
      <c r="BM183" s="50">
        <f t="shared" si="91"/>
        <v>20.5333333332092</v>
      </c>
      <c r="BN183" s="50">
        <f t="shared" si="92"/>
        <v>2</v>
      </c>
      <c r="BO183" s="50">
        <f t="shared" si="93"/>
        <v>0</v>
      </c>
      <c r="BP183" s="50">
        <f t="shared" si="94"/>
        <v>0</v>
      </c>
      <c r="BQ183" s="4" t="str">
        <f t="shared" si="95"/>
        <v>12,00 2025.08.20</v>
      </c>
      <c r="BR183" s="4" t="str">
        <f t="shared" si="96"/>
        <v>22,16 2025.08.20</v>
      </c>
      <c r="BS183" s="4" t="str">
        <f t="shared" si="97"/>
        <v>П</v>
      </c>
      <c r="BT183" s="10">
        <f t="shared" si="98"/>
        <v>10.2666666666046</v>
      </c>
      <c r="BU183" s="42">
        <f t="shared" si="99"/>
        <v>2</v>
      </c>
      <c r="BV183" s="11">
        <f t="shared" si="100"/>
        <v>0</v>
      </c>
      <c r="BW183" s="11">
        <f t="shared" si="101"/>
        <v>0</v>
      </c>
      <c r="BX183" s="11">
        <f t="shared" si="102"/>
        <v>2</v>
      </c>
      <c r="BY183" s="11">
        <f t="shared" si="103"/>
        <v>0</v>
      </c>
      <c r="BZ183" s="11">
        <f t="shared" si="104"/>
        <v>0</v>
      </c>
      <c r="CA183" s="11">
        <f t="shared" si="105"/>
        <v>2</v>
      </c>
      <c r="CB183" s="42">
        <f t="shared" si="106"/>
        <v>0</v>
      </c>
      <c r="CC183" s="11">
        <f t="shared" si="107"/>
        <v>0</v>
      </c>
      <c r="CD183" s="11">
        <f t="shared" si="108"/>
        <v>1</v>
      </c>
      <c r="CE183" s="4"/>
      <c r="CF183" s="50">
        <f t="shared" si="109"/>
        <v>0</v>
      </c>
      <c r="CG183" s="50">
        <f t="shared" si="110"/>
        <v>0</v>
      </c>
      <c r="CH183" s="50">
        <f t="shared" si="111"/>
        <v>20.5333333332092</v>
      </c>
      <c r="CI183" s="50">
        <f t="shared" si="112"/>
        <v>2</v>
      </c>
      <c r="CJ183" s="50">
        <f t="shared" si="113"/>
        <v>0</v>
      </c>
      <c r="CK183" s="50">
        <f t="shared" si="114"/>
        <v>0</v>
      </c>
      <c r="CL183" s="50">
        <f t="shared" si="115"/>
        <v>0</v>
      </c>
      <c r="CM183" s="50">
        <f t="shared" si="116"/>
        <v>0</v>
      </c>
      <c r="CN183" s="50">
        <f t="shared" si="117"/>
        <v>20.5333333332092</v>
      </c>
      <c r="CO183" s="50">
        <f t="shared" si="118"/>
        <v>2</v>
      </c>
      <c r="CP183" s="50">
        <f t="shared" si="119"/>
        <v>0</v>
      </c>
      <c r="CQ183" s="50">
        <f t="shared" si="120"/>
        <v>0</v>
      </c>
      <c r="CR183"/>
    </row>
    <row r="184" spans="2:96" s="473" customFormat="1" ht="15.75" customHeight="1" x14ac:dyDescent="0.15">
      <c r="B184" s="59"/>
      <c r="D184" s="130">
        <v>21</v>
      </c>
      <c r="AA184" s="28" t="s">
        <v>701</v>
      </c>
      <c r="AB184" s="31" t="s">
        <v>1057</v>
      </c>
      <c r="AC184" s="247" t="s">
        <v>1435</v>
      </c>
      <c r="AD184" s="314" t="s">
        <v>110</v>
      </c>
      <c r="AE184" s="315" t="s">
        <v>1825</v>
      </c>
      <c r="AF184" s="316" t="s">
        <v>1432</v>
      </c>
      <c r="AG184" s="248" t="s">
        <v>1894</v>
      </c>
      <c r="AH184" s="248" t="s">
        <v>1894</v>
      </c>
      <c r="AI184" s="248" t="s">
        <v>122</v>
      </c>
      <c r="AJ184" s="317">
        <v>0</v>
      </c>
      <c r="AK184" s="315" t="s">
        <v>1827</v>
      </c>
      <c r="AL184" s="315">
        <v>0</v>
      </c>
      <c r="AM184" s="315">
        <v>0</v>
      </c>
      <c r="AN184" s="42">
        <f t="shared" si="81"/>
        <v>1</v>
      </c>
      <c r="AO184" s="318">
        <v>0</v>
      </c>
      <c r="AP184" s="318">
        <v>0</v>
      </c>
      <c r="AQ184" s="318">
        <v>1</v>
      </c>
      <c r="AR184" s="318">
        <v>0</v>
      </c>
      <c r="AS184" s="318">
        <v>0</v>
      </c>
      <c r="AT184" s="318">
        <v>1</v>
      </c>
      <c r="AU184" s="42">
        <f t="shared" si="82"/>
        <v>0</v>
      </c>
      <c r="AV184" s="318">
        <v>0</v>
      </c>
      <c r="AW184" s="318">
        <v>350</v>
      </c>
      <c r="AX184" s="315"/>
      <c r="AY184" s="636" t="s">
        <v>2099</v>
      </c>
      <c r="AZ184" s="319" t="s">
        <v>199</v>
      </c>
      <c r="BA184" s="319" t="s">
        <v>2041</v>
      </c>
      <c r="BB184" s="318">
        <v>0</v>
      </c>
      <c r="BC184" s="9"/>
      <c r="BD184" s="9"/>
      <c r="BE184" s="50">
        <f t="shared" si="83"/>
        <v>0</v>
      </c>
      <c r="BF184" s="50">
        <f t="shared" si="84"/>
        <v>0</v>
      </c>
      <c r="BG184" s="50">
        <f t="shared" si="85"/>
        <v>0</v>
      </c>
      <c r="BH184" s="50">
        <f t="shared" si="86"/>
        <v>0</v>
      </c>
      <c r="BI184" s="50">
        <f t="shared" si="87"/>
        <v>0</v>
      </c>
      <c r="BJ184" s="50">
        <f t="shared" si="88"/>
        <v>0</v>
      </c>
      <c r="BK184" s="50">
        <f t="shared" si="89"/>
        <v>0</v>
      </c>
      <c r="BL184" s="50">
        <f t="shared" si="90"/>
        <v>0</v>
      </c>
      <c r="BM184" s="50">
        <f t="shared" si="91"/>
        <v>0</v>
      </c>
      <c r="BN184" s="50">
        <f t="shared" si="92"/>
        <v>0</v>
      </c>
      <c r="BO184" s="50">
        <f t="shared" si="93"/>
        <v>0</v>
      </c>
      <c r="BP184" s="50">
        <f t="shared" si="94"/>
        <v>0</v>
      </c>
      <c r="BQ184" s="4" t="str">
        <f t="shared" si="95"/>
        <v>01,48 2025.08.21</v>
      </c>
      <c r="BR184" s="4" t="str">
        <f t="shared" si="96"/>
        <v>01,48 2025.08.21</v>
      </c>
      <c r="BS184" s="4" t="str">
        <f t="shared" si="97"/>
        <v>В</v>
      </c>
      <c r="BT184" s="10">
        <f t="shared" si="98"/>
        <v>0</v>
      </c>
      <c r="BU184" s="42">
        <f t="shared" si="99"/>
        <v>1</v>
      </c>
      <c r="BV184" s="11">
        <f t="shared" si="100"/>
        <v>0</v>
      </c>
      <c r="BW184" s="11">
        <f t="shared" si="101"/>
        <v>0</v>
      </c>
      <c r="BX184" s="11">
        <f t="shared" si="102"/>
        <v>1</v>
      </c>
      <c r="BY184" s="11">
        <f t="shared" si="103"/>
        <v>0</v>
      </c>
      <c r="BZ184" s="11">
        <f t="shared" si="104"/>
        <v>0</v>
      </c>
      <c r="CA184" s="11">
        <f t="shared" si="105"/>
        <v>1</v>
      </c>
      <c r="CB184" s="42">
        <f t="shared" si="106"/>
        <v>0</v>
      </c>
      <c r="CC184" s="11">
        <f t="shared" si="107"/>
        <v>0</v>
      </c>
      <c r="CD184" s="11">
        <f t="shared" si="108"/>
        <v>0</v>
      </c>
      <c r="CE184" s="4"/>
      <c r="CF184" s="50">
        <f t="shared" si="109"/>
        <v>0</v>
      </c>
      <c r="CG184" s="50">
        <f t="shared" si="110"/>
        <v>0</v>
      </c>
      <c r="CH184" s="50">
        <f t="shared" si="111"/>
        <v>0</v>
      </c>
      <c r="CI184" s="50">
        <f t="shared" si="112"/>
        <v>0</v>
      </c>
      <c r="CJ184" s="50">
        <f t="shared" si="113"/>
        <v>0</v>
      </c>
      <c r="CK184" s="50">
        <f t="shared" si="114"/>
        <v>0</v>
      </c>
      <c r="CL184" s="50">
        <f t="shared" si="115"/>
        <v>0</v>
      </c>
      <c r="CM184" s="50">
        <f t="shared" si="116"/>
        <v>0</v>
      </c>
      <c r="CN184" s="50">
        <f t="shared" si="117"/>
        <v>0</v>
      </c>
      <c r="CO184" s="50">
        <f t="shared" si="118"/>
        <v>0</v>
      </c>
      <c r="CP184" s="50">
        <f t="shared" si="119"/>
        <v>0</v>
      </c>
      <c r="CQ184" s="50">
        <f t="shared" si="120"/>
        <v>0</v>
      </c>
      <c r="CR184"/>
    </row>
    <row r="185" spans="2:96" s="474" customFormat="1" ht="15.75" customHeight="1" x14ac:dyDescent="0.15">
      <c r="B185" s="59"/>
      <c r="D185" s="130">
        <v>21</v>
      </c>
      <c r="AA185" s="28" t="s">
        <v>701</v>
      </c>
      <c r="AB185" s="31" t="s">
        <v>1058</v>
      </c>
      <c r="AC185" s="247" t="s">
        <v>1430</v>
      </c>
      <c r="AD185" s="314" t="s">
        <v>110</v>
      </c>
      <c r="AE185" s="315" t="s">
        <v>1479</v>
      </c>
      <c r="AF185" s="316" t="s">
        <v>1432</v>
      </c>
      <c r="AG185" s="248" t="s">
        <v>1895</v>
      </c>
      <c r="AH185" s="248" t="s">
        <v>1896</v>
      </c>
      <c r="AI185" s="248" t="s">
        <v>122</v>
      </c>
      <c r="AJ185" s="317">
        <v>3.9666666666744299</v>
      </c>
      <c r="AK185" s="315" t="s">
        <v>1482</v>
      </c>
      <c r="AL185" s="315">
        <v>0</v>
      </c>
      <c r="AM185" s="315">
        <v>0</v>
      </c>
      <c r="AN185" s="42">
        <f t="shared" si="81"/>
        <v>1</v>
      </c>
      <c r="AO185" s="318">
        <v>0</v>
      </c>
      <c r="AP185" s="318">
        <v>0</v>
      </c>
      <c r="AQ185" s="318">
        <v>1</v>
      </c>
      <c r="AR185" s="318">
        <v>0</v>
      </c>
      <c r="AS185" s="318">
        <v>0</v>
      </c>
      <c r="AT185" s="318">
        <v>1</v>
      </c>
      <c r="AU185" s="42">
        <f t="shared" si="82"/>
        <v>0</v>
      </c>
      <c r="AV185" s="318">
        <v>0</v>
      </c>
      <c r="AW185" s="318">
        <v>390</v>
      </c>
      <c r="AX185" s="315"/>
      <c r="AY185" s="636" t="s">
        <v>2100</v>
      </c>
      <c r="AZ185" s="319" t="s">
        <v>201</v>
      </c>
      <c r="BA185" s="319" t="s">
        <v>2041</v>
      </c>
      <c r="BB185" s="318">
        <v>0</v>
      </c>
      <c r="BC185" s="9"/>
      <c r="BD185" s="9"/>
      <c r="BE185" s="50">
        <f t="shared" si="83"/>
        <v>0</v>
      </c>
      <c r="BF185" s="50">
        <f t="shared" si="84"/>
        <v>0</v>
      </c>
      <c r="BG185" s="50">
        <f t="shared" si="85"/>
        <v>0</v>
      </c>
      <c r="BH185" s="50">
        <f t="shared" si="86"/>
        <v>0</v>
      </c>
      <c r="BI185" s="50">
        <f t="shared" si="87"/>
        <v>0</v>
      </c>
      <c r="BJ185" s="50">
        <f t="shared" si="88"/>
        <v>0</v>
      </c>
      <c r="BK185" s="50">
        <f t="shared" si="89"/>
        <v>0</v>
      </c>
      <c r="BL185" s="50">
        <f t="shared" si="90"/>
        <v>0</v>
      </c>
      <c r="BM185" s="50">
        <f t="shared" si="91"/>
        <v>0</v>
      </c>
      <c r="BN185" s="50">
        <f t="shared" si="92"/>
        <v>0</v>
      </c>
      <c r="BO185" s="50">
        <f t="shared" si="93"/>
        <v>0</v>
      </c>
      <c r="BP185" s="50">
        <f t="shared" si="94"/>
        <v>0</v>
      </c>
      <c r="BQ185" s="4" t="str">
        <f t="shared" si="95"/>
        <v>06,45 2025.08.21</v>
      </c>
      <c r="BR185" s="4" t="str">
        <f t="shared" si="96"/>
        <v>10,43 2025.08.21</v>
      </c>
      <c r="BS185" s="4" t="str">
        <f t="shared" si="97"/>
        <v>В</v>
      </c>
      <c r="BT185" s="10">
        <f t="shared" si="98"/>
        <v>3.9666666666744299</v>
      </c>
      <c r="BU185" s="42">
        <f t="shared" si="99"/>
        <v>1</v>
      </c>
      <c r="BV185" s="11">
        <f t="shared" si="100"/>
        <v>0</v>
      </c>
      <c r="BW185" s="11">
        <f t="shared" si="101"/>
        <v>0</v>
      </c>
      <c r="BX185" s="11">
        <f t="shared" si="102"/>
        <v>1</v>
      </c>
      <c r="BY185" s="11">
        <f t="shared" si="103"/>
        <v>0</v>
      </c>
      <c r="BZ185" s="11">
        <f t="shared" si="104"/>
        <v>0</v>
      </c>
      <c r="CA185" s="11">
        <f t="shared" si="105"/>
        <v>1</v>
      </c>
      <c r="CB185" s="42">
        <f t="shared" si="106"/>
        <v>0</v>
      </c>
      <c r="CC185" s="11">
        <f t="shared" si="107"/>
        <v>0</v>
      </c>
      <c r="CD185" s="11">
        <f t="shared" si="108"/>
        <v>0</v>
      </c>
      <c r="CE185" s="4"/>
      <c r="CF185" s="50">
        <f t="shared" si="109"/>
        <v>0</v>
      </c>
      <c r="CG185" s="50">
        <f t="shared" si="110"/>
        <v>0</v>
      </c>
      <c r="CH185" s="50">
        <f t="shared" si="111"/>
        <v>0</v>
      </c>
      <c r="CI185" s="50">
        <f t="shared" si="112"/>
        <v>0</v>
      </c>
      <c r="CJ185" s="50">
        <f t="shared" si="113"/>
        <v>0</v>
      </c>
      <c r="CK185" s="50">
        <f t="shared" si="114"/>
        <v>0</v>
      </c>
      <c r="CL185" s="50">
        <f t="shared" si="115"/>
        <v>0</v>
      </c>
      <c r="CM185" s="50">
        <f t="shared" si="116"/>
        <v>0</v>
      </c>
      <c r="CN185" s="50">
        <f t="shared" si="117"/>
        <v>0</v>
      </c>
      <c r="CO185" s="50">
        <f t="shared" si="118"/>
        <v>0</v>
      </c>
      <c r="CP185" s="50">
        <f t="shared" si="119"/>
        <v>0</v>
      </c>
      <c r="CQ185" s="50">
        <f t="shared" si="120"/>
        <v>0</v>
      </c>
      <c r="CR185"/>
    </row>
    <row r="186" spans="2:96" s="475" customFormat="1" ht="15.75" customHeight="1" x14ac:dyDescent="0.15">
      <c r="B186" s="59"/>
      <c r="D186" s="130">
        <v>21</v>
      </c>
      <c r="AA186" s="28" t="s">
        <v>701</v>
      </c>
      <c r="AB186" s="31" t="s">
        <v>1059</v>
      </c>
      <c r="AC186" s="247" t="s">
        <v>1435</v>
      </c>
      <c r="AD186" s="314" t="s">
        <v>110</v>
      </c>
      <c r="AE186" s="315" t="s">
        <v>1897</v>
      </c>
      <c r="AF186" s="316" t="s">
        <v>1432</v>
      </c>
      <c r="AG186" s="248" t="s">
        <v>1898</v>
      </c>
      <c r="AH186" s="248" t="s">
        <v>1898</v>
      </c>
      <c r="AI186" s="248" t="s">
        <v>122</v>
      </c>
      <c r="AJ186" s="317">
        <v>0</v>
      </c>
      <c r="AK186" s="315" t="s">
        <v>1899</v>
      </c>
      <c r="AL186" s="315">
        <v>0</v>
      </c>
      <c r="AM186" s="315">
        <v>1</v>
      </c>
      <c r="AN186" s="42">
        <f t="shared" si="81"/>
        <v>4</v>
      </c>
      <c r="AO186" s="318">
        <v>0</v>
      </c>
      <c r="AP186" s="318">
        <v>1</v>
      </c>
      <c r="AQ186" s="318">
        <v>3</v>
      </c>
      <c r="AR186" s="318">
        <v>0</v>
      </c>
      <c r="AS186" s="318">
        <v>0</v>
      </c>
      <c r="AT186" s="318">
        <v>4</v>
      </c>
      <c r="AU186" s="42">
        <f t="shared" si="82"/>
        <v>0</v>
      </c>
      <c r="AV186" s="318">
        <v>0</v>
      </c>
      <c r="AW186" s="318">
        <v>430</v>
      </c>
      <c r="AX186" s="315"/>
      <c r="AY186" s="636" t="s">
        <v>2101</v>
      </c>
      <c r="AZ186" s="319" t="s">
        <v>199</v>
      </c>
      <c r="BA186" s="319" t="s">
        <v>2041</v>
      </c>
      <c r="BB186" s="318">
        <v>0</v>
      </c>
      <c r="BC186" s="9"/>
      <c r="BD186" s="9"/>
      <c r="BE186" s="50">
        <f t="shared" si="83"/>
        <v>0</v>
      </c>
      <c r="BF186" s="50">
        <f t="shared" si="84"/>
        <v>0</v>
      </c>
      <c r="BG186" s="50">
        <f t="shared" si="85"/>
        <v>0</v>
      </c>
      <c r="BH186" s="50">
        <f t="shared" si="86"/>
        <v>0</v>
      </c>
      <c r="BI186" s="50">
        <f t="shared" si="87"/>
        <v>0</v>
      </c>
      <c r="BJ186" s="50">
        <f t="shared" si="88"/>
        <v>0</v>
      </c>
      <c r="BK186" s="50">
        <f t="shared" si="89"/>
        <v>0</v>
      </c>
      <c r="BL186" s="50">
        <f t="shared" si="90"/>
        <v>0</v>
      </c>
      <c r="BM186" s="50">
        <f t="shared" si="91"/>
        <v>0</v>
      </c>
      <c r="BN186" s="50">
        <f t="shared" si="92"/>
        <v>0</v>
      </c>
      <c r="BO186" s="50">
        <f t="shared" si="93"/>
        <v>0</v>
      </c>
      <c r="BP186" s="50">
        <f t="shared" si="94"/>
        <v>0</v>
      </c>
      <c r="BQ186" s="4" t="str">
        <f t="shared" si="95"/>
        <v>15,29 2025.08.21</v>
      </c>
      <c r="BR186" s="4" t="str">
        <f t="shared" si="96"/>
        <v>15,29 2025.08.21</v>
      </c>
      <c r="BS186" s="4" t="str">
        <f t="shared" si="97"/>
        <v>В</v>
      </c>
      <c r="BT186" s="10">
        <f t="shared" si="98"/>
        <v>0</v>
      </c>
      <c r="BU186" s="42">
        <f t="shared" si="99"/>
        <v>4</v>
      </c>
      <c r="BV186" s="11">
        <f t="shared" si="100"/>
        <v>0</v>
      </c>
      <c r="BW186" s="11">
        <f t="shared" si="101"/>
        <v>1</v>
      </c>
      <c r="BX186" s="11">
        <f t="shared" si="102"/>
        <v>3</v>
      </c>
      <c r="BY186" s="11">
        <f t="shared" si="103"/>
        <v>0</v>
      </c>
      <c r="BZ186" s="11">
        <f t="shared" si="104"/>
        <v>0</v>
      </c>
      <c r="CA186" s="11">
        <f t="shared" si="105"/>
        <v>4</v>
      </c>
      <c r="CB186" s="42">
        <f t="shared" si="106"/>
        <v>0</v>
      </c>
      <c r="CC186" s="11">
        <f t="shared" si="107"/>
        <v>0</v>
      </c>
      <c r="CD186" s="11">
        <f t="shared" si="108"/>
        <v>0</v>
      </c>
      <c r="CE186" s="4"/>
      <c r="CF186" s="50">
        <f t="shared" si="109"/>
        <v>0</v>
      </c>
      <c r="CG186" s="50">
        <f t="shared" si="110"/>
        <v>0</v>
      </c>
      <c r="CH186" s="50">
        <f t="shared" si="111"/>
        <v>0</v>
      </c>
      <c r="CI186" s="50">
        <f t="shared" si="112"/>
        <v>0</v>
      </c>
      <c r="CJ186" s="50">
        <f t="shared" si="113"/>
        <v>0</v>
      </c>
      <c r="CK186" s="50">
        <f t="shared" si="114"/>
        <v>0</v>
      </c>
      <c r="CL186" s="50">
        <f t="shared" si="115"/>
        <v>0</v>
      </c>
      <c r="CM186" s="50">
        <f t="shared" si="116"/>
        <v>0</v>
      </c>
      <c r="CN186" s="50">
        <f t="shared" si="117"/>
        <v>0</v>
      </c>
      <c r="CO186" s="50">
        <f t="shared" si="118"/>
        <v>0</v>
      </c>
      <c r="CP186" s="50">
        <f t="shared" si="119"/>
        <v>0</v>
      </c>
      <c r="CQ186" s="50">
        <f t="shared" si="120"/>
        <v>0</v>
      </c>
      <c r="CR186"/>
    </row>
    <row r="187" spans="2:96" s="476" customFormat="1" ht="15.75" customHeight="1" x14ac:dyDescent="0.15">
      <c r="B187" s="59"/>
      <c r="D187" s="130">
        <v>21</v>
      </c>
      <c r="AA187" s="28" t="s">
        <v>701</v>
      </c>
      <c r="AB187" s="31" t="s">
        <v>1060</v>
      </c>
      <c r="AC187" s="247" t="s">
        <v>1445</v>
      </c>
      <c r="AD187" s="314" t="s">
        <v>110</v>
      </c>
      <c r="AE187" s="315" t="s">
        <v>1900</v>
      </c>
      <c r="AF187" s="316" t="s">
        <v>1495</v>
      </c>
      <c r="AG187" s="248" t="s">
        <v>1901</v>
      </c>
      <c r="AH187" s="248" t="s">
        <v>1901</v>
      </c>
      <c r="AI187" s="248" t="s">
        <v>122</v>
      </c>
      <c r="AJ187" s="317">
        <v>0</v>
      </c>
      <c r="AK187" s="315" t="s">
        <v>1902</v>
      </c>
      <c r="AL187" s="315">
        <v>0</v>
      </c>
      <c r="AM187" s="315">
        <v>0</v>
      </c>
      <c r="AN187" s="42">
        <f t="shared" si="81"/>
        <v>2</v>
      </c>
      <c r="AO187" s="318">
        <v>0</v>
      </c>
      <c r="AP187" s="318">
        <v>0</v>
      </c>
      <c r="AQ187" s="318">
        <v>2</v>
      </c>
      <c r="AR187" s="318">
        <v>0</v>
      </c>
      <c r="AS187" s="318">
        <v>0</v>
      </c>
      <c r="AT187" s="318">
        <v>2</v>
      </c>
      <c r="AU187" s="42">
        <f t="shared" si="82"/>
        <v>0</v>
      </c>
      <c r="AV187" s="318">
        <v>0</v>
      </c>
      <c r="AW187" s="318">
        <v>4790</v>
      </c>
      <c r="AX187" s="315"/>
      <c r="AY187" s="636" t="s">
        <v>2102</v>
      </c>
      <c r="AZ187" s="319" t="s">
        <v>199</v>
      </c>
      <c r="BA187" s="319" t="s">
        <v>2041</v>
      </c>
      <c r="BB187" s="318">
        <v>0</v>
      </c>
      <c r="BC187" s="9"/>
      <c r="BD187" s="9"/>
      <c r="BE187" s="50">
        <f t="shared" si="83"/>
        <v>0</v>
      </c>
      <c r="BF187" s="50">
        <f t="shared" si="84"/>
        <v>0</v>
      </c>
      <c r="BG187" s="50">
        <f t="shared" si="85"/>
        <v>0</v>
      </c>
      <c r="BH187" s="50">
        <f t="shared" si="86"/>
        <v>0</v>
      </c>
      <c r="BI187" s="50">
        <f t="shared" si="87"/>
        <v>0</v>
      </c>
      <c r="BJ187" s="50">
        <f t="shared" si="88"/>
        <v>0</v>
      </c>
      <c r="BK187" s="50">
        <f t="shared" si="89"/>
        <v>0</v>
      </c>
      <c r="BL187" s="50">
        <f t="shared" si="90"/>
        <v>0</v>
      </c>
      <c r="BM187" s="50">
        <f t="shared" si="91"/>
        <v>0</v>
      </c>
      <c r="BN187" s="50">
        <f t="shared" si="92"/>
        <v>0</v>
      </c>
      <c r="BO187" s="50">
        <f t="shared" si="93"/>
        <v>0</v>
      </c>
      <c r="BP187" s="50">
        <f t="shared" si="94"/>
        <v>0</v>
      </c>
      <c r="BQ187" s="4" t="str">
        <f t="shared" si="95"/>
        <v>15,45 2025.08.22</v>
      </c>
      <c r="BR187" s="4" t="str">
        <f t="shared" si="96"/>
        <v>15,45 2025.08.22</v>
      </c>
      <c r="BS187" s="4" t="str">
        <f t="shared" si="97"/>
        <v>В</v>
      </c>
      <c r="BT187" s="10">
        <f t="shared" si="98"/>
        <v>0</v>
      </c>
      <c r="BU187" s="42">
        <f t="shared" si="99"/>
        <v>2</v>
      </c>
      <c r="BV187" s="11">
        <f t="shared" si="100"/>
        <v>0</v>
      </c>
      <c r="BW187" s="11">
        <f t="shared" si="101"/>
        <v>0</v>
      </c>
      <c r="BX187" s="11">
        <f t="shared" si="102"/>
        <v>2</v>
      </c>
      <c r="BY187" s="11">
        <f t="shared" si="103"/>
        <v>0</v>
      </c>
      <c r="BZ187" s="11">
        <f t="shared" si="104"/>
        <v>0</v>
      </c>
      <c r="CA187" s="11">
        <f t="shared" si="105"/>
        <v>2</v>
      </c>
      <c r="CB187" s="42">
        <f t="shared" si="106"/>
        <v>0</v>
      </c>
      <c r="CC187" s="11">
        <f t="shared" si="107"/>
        <v>0</v>
      </c>
      <c r="CD187" s="11">
        <f t="shared" si="108"/>
        <v>0</v>
      </c>
      <c r="CE187" s="4"/>
      <c r="CF187" s="50">
        <f t="shared" si="109"/>
        <v>0</v>
      </c>
      <c r="CG187" s="50">
        <f t="shared" si="110"/>
        <v>0</v>
      </c>
      <c r="CH187" s="50">
        <f t="shared" si="111"/>
        <v>0</v>
      </c>
      <c r="CI187" s="50">
        <f t="shared" si="112"/>
        <v>0</v>
      </c>
      <c r="CJ187" s="50">
        <f t="shared" si="113"/>
        <v>0</v>
      </c>
      <c r="CK187" s="50">
        <f t="shared" si="114"/>
        <v>0</v>
      </c>
      <c r="CL187" s="50">
        <f t="shared" si="115"/>
        <v>0</v>
      </c>
      <c r="CM187" s="50">
        <f t="shared" si="116"/>
        <v>0</v>
      </c>
      <c r="CN187" s="50">
        <f t="shared" si="117"/>
        <v>0</v>
      </c>
      <c r="CO187" s="50">
        <f t="shared" si="118"/>
        <v>0</v>
      </c>
      <c r="CP187" s="50">
        <f t="shared" si="119"/>
        <v>0</v>
      </c>
      <c r="CQ187" s="50">
        <f t="shared" si="120"/>
        <v>0</v>
      </c>
      <c r="CR187"/>
    </row>
    <row r="188" spans="2:96" s="477" customFormat="1" ht="15.75" customHeight="1" x14ac:dyDescent="0.15">
      <c r="B188" s="59"/>
      <c r="D188" s="130">
        <v>21</v>
      </c>
      <c r="AA188" s="28" t="s">
        <v>701</v>
      </c>
      <c r="AB188" s="31" t="s">
        <v>1061</v>
      </c>
      <c r="AC188" s="247" t="s">
        <v>1435</v>
      </c>
      <c r="AD188" s="314" t="s">
        <v>110</v>
      </c>
      <c r="AE188" s="315" t="s">
        <v>1903</v>
      </c>
      <c r="AF188" s="316" t="s">
        <v>1432</v>
      </c>
      <c r="AG188" s="248" t="s">
        <v>1904</v>
      </c>
      <c r="AH188" s="248" t="s">
        <v>1905</v>
      </c>
      <c r="AI188" s="248" t="s">
        <v>122</v>
      </c>
      <c r="AJ188" s="317">
        <v>3.39999999990687</v>
      </c>
      <c r="AK188" s="315" t="s">
        <v>1906</v>
      </c>
      <c r="AL188" s="315">
        <v>0</v>
      </c>
      <c r="AM188" s="315">
        <v>0</v>
      </c>
      <c r="AN188" s="42">
        <f t="shared" si="81"/>
        <v>1</v>
      </c>
      <c r="AO188" s="318">
        <v>0</v>
      </c>
      <c r="AP188" s="318">
        <v>0</v>
      </c>
      <c r="AQ188" s="318">
        <v>1</v>
      </c>
      <c r="AR188" s="318">
        <v>0</v>
      </c>
      <c r="AS188" s="318">
        <v>0</v>
      </c>
      <c r="AT188" s="318">
        <v>1</v>
      </c>
      <c r="AU188" s="42">
        <f t="shared" si="82"/>
        <v>0</v>
      </c>
      <c r="AV188" s="318">
        <v>0</v>
      </c>
      <c r="AW188" s="318">
        <v>238</v>
      </c>
      <c r="AX188" s="315"/>
      <c r="AY188" s="636" t="s">
        <v>2103</v>
      </c>
      <c r="AZ188" s="319" t="s">
        <v>201</v>
      </c>
      <c r="BA188" s="319" t="s">
        <v>2041</v>
      </c>
      <c r="BB188" s="318">
        <v>0</v>
      </c>
      <c r="BC188" s="9"/>
      <c r="BD188" s="9"/>
      <c r="BE188" s="50">
        <f t="shared" si="83"/>
        <v>0</v>
      </c>
      <c r="BF188" s="50">
        <f t="shared" si="84"/>
        <v>0</v>
      </c>
      <c r="BG188" s="50">
        <f t="shared" si="85"/>
        <v>0</v>
      </c>
      <c r="BH188" s="50">
        <f t="shared" si="86"/>
        <v>0</v>
      </c>
      <c r="BI188" s="50">
        <f t="shared" si="87"/>
        <v>0</v>
      </c>
      <c r="BJ188" s="50">
        <f t="shared" si="88"/>
        <v>0</v>
      </c>
      <c r="BK188" s="50">
        <f t="shared" si="89"/>
        <v>0</v>
      </c>
      <c r="BL188" s="50">
        <f t="shared" si="90"/>
        <v>0</v>
      </c>
      <c r="BM188" s="50">
        <f t="shared" si="91"/>
        <v>0</v>
      </c>
      <c r="BN188" s="50">
        <f t="shared" si="92"/>
        <v>0</v>
      </c>
      <c r="BO188" s="50">
        <f t="shared" si="93"/>
        <v>0</v>
      </c>
      <c r="BP188" s="50">
        <f t="shared" si="94"/>
        <v>0</v>
      </c>
      <c r="BQ188" s="4" t="str">
        <f t="shared" si="95"/>
        <v>06,26 2025.08.25</v>
      </c>
      <c r="BR188" s="4" t="str">
        <f t="shared" si="96"/>
        <v>09,50 2025.08.25</v>
      </c>
      <c r="BS188" s="4" t="str">
        <f t="shared" si="97"/>
        <v>В</v>
      </c>
      <c r="BT188" s="10">
        <f t="shared" si="98"/>
        <v>3.39999999990687</v>
      </c>
      <c r="BU188" s="42">
        <f t="shared" si="99"/>
        <v>1</v>
      </c>
      <c r="BV188" s="11">
        <f t="shared" si="100"/>
        <v>0</v>
      </c>
      <c r="BW188" s="11">
        <f t="shared" si="101"/>
        <v>0</v>
      </c>
      <c r="BX188" s="11">
        <f t="shared" si="102"/>
        <v>1</v>
      </c>
      <c r="BY188" s="11">
        <f t="shared" si="103"/>
        <v>0</v>
      </c>
      <c r="BZ188" s="11">
        <f t="shared" si="104"/>
        <v>0</v>
      </c>
      <c r="CA188" s="11">
        <f t="shared" si="105"/>
        <v>1</v>
      </c>
      <c r="CB188" s="42">
        <f t="shared" si="106"/>
        <v>0</v>
      </c>
      <c r="CC188" s="11">
        <f t="shared" si="107"/>
        <v>0</v>
      </c>
      <c r="CD188" s="11">
        <f t="shared" si="108"/>
        <v>0</v>
      </c>
      <c r="CE188" s="4"/>
      <c r="CF188" s="50">
        <f t="shared" si="109"/>
        <v>0</v>
      </c>
      <c r="CG188" s="50">
        <f t="shared" si="110"/>
        <v>0</v>
      </c>
      <c r="CH188" s="50">
        <f t="shared" si="111"/>
        <v>0</v>
      </c>
      <c r="CI188" s="50">
        <f t="shared" si="112"/>
        <v>0</v>
      </c>
      <c r="CJ188" s="50">
        <f t="shared" si="113"/>
        <v>0</v>
      </c>
      <c r="CK188" s="50">
        <f t="shared" si="114"/>
        <v>0</v>
      </c>
      <c r="CL188" s="50">
        <f t="shared" si="115"/>
        <v>0</v>
      </c>
      <c r="CM188" s="50">
        <f t="shared" si="116"/>
        <v>0</v>
      </c>
      <c r="CN188" s="50">
        <f t="shared" si="117"/>
        <v>0</v>
      </c>
      <c r="CO188" s="50">
        <f t="shared" si="118"/>
        <v>0</v>
      </c>
      <c r="CP188" s="50">
        <f t="shared" si="119"/>
        <v>0</v>
      </c>
      <c r="CQ188" s="50">
        <f t="shared" si="120"/>
        <v>0</v>
      </c>
      <c r="CR188"/>
    </row>
    <row r="189" spans="2:96" s="478" customFormat="1" ht="15.75" customHeight="1" x14ac:dyDescent="0.15">
      <c r="B189" s="59"/>
      <c r="D189" s="130">
        <v>21</v>
      </c>
      <c r="AA189" s="28" t="s">
        <v>701</v>
      </c>
      <c r="AB189" s="31" t="s">
        <v>1062</v>
      </c>
      <c r="AC189" s="247" t="s">
        <v>1435</v>
      </c>
      <c r="AD189" s="314" t="s">
        <v>110</v>
      </c>
      <c r="AE189" s="315" t="s">
        <v>1907</v>
      </c>
      <c r="AF189" s="316" t="s">
        <v>1432</v>
      </c>
      <c r="AG189" s="248" t="s">
        <v>1908</v>
      </c>
      <c r="AH189" s="248" t="s">
        <v>1909</v>
      </c>
      <c r="AI189" s="248" t="s">
        <v>100</v>
      </c>
      <c r="AJ189" s="317">
        <v>11.1000000000349</v>
      </c>
      <c r="AK189" s="315" t="s">
        <v>1910</v>
      </c>
      <c r="AL189" s="315">
        <v>0</v>
      </c>
      <c r="AM189" s="315">
        <v>0</v>
      </c>
      <c r="AN189" s="42">
        <f t="shared" si="81"/>
        <v>2</v>
      </c>
      <c r="AO189" s="318">
        <v>0</v>
      </c>
      <c r="AP189" s="318">
        <v>0</v>
      </c>
      <c r="AQ189" s="318">
        <v>2</v>
      </c>
      <c r="AR189" s="318">
        <v>0</v>
      </c>
      <c r="AS189" s="318">
        <v>0</v>
      </c>
      <c r="AT189" s="318">
        <v>2</v>
      </c>
      <c r="AU189" s="42">
        <f t="shared" si="82"/>
        <v>0</v>
      </c>
      <c r="AV189" s="318">
        <v>0</v>
      </c>
      <c r="AW189" s="318">
        <v>570</v>
      </c>
      <c r="AX189" s="315"/>
      <c r="AY189" s="636"/>
      <c r="AZ189" s="319"/>
      <c r="BA189" s="319"/>
      <c r="BB189" s="318">
        <v>1</v>
      </c>
      <c r="BC189" s="9"/>
      <c r="BD189" s="9"/>
      <c r="BE189" s="50">
        <f t="shared" si="83"/>
        <v>0</v>
      </c>
      <c r="BF189" s="50">
        <f t="shared" si="84"/>
        <v>0</v>
      </c>
      <c r="BG189" s="50">
        <f t="shared" si="85"/>
        <v>22.200000000069799</v>
      </c>
      <c r="BH189" s="50">
        <f t="shared" si="86"/>
        <v>2</v>
      </c>
      <c r="BI189" s="50">
        <f t="shared" si="87"/>
        <v>0</v>
      </c>
      <c r="BJ189" s="50">
        <f t="shared" si="88"/>
        <v>0</v>
      </c>
      <c r="BK189" s="50">
        <f t="shared" si="89"/>
        <v>0</v>
      </c>
      <c r="BL189" s="50">
        <f t="shared" si="90"/>
        <v>0</v>
      </c>
      <c r="BM189" s="50">
        <f t="shared" si="91"/>
        <v>22.200000000069799</v>
      </c>
      <c r="BN189" s="50">
        <f t="shared" si="92"/>
        <v>2</v>
      </c>
      <c r="BO189" s="50">
        <f t="shared" si="93"/>
        <v>0</v>
      </c>
      <c r="BP189" s="50">
        <f t="shared" si="94"/>
        <v>0</v>
      </c>
      <c r="BQ189" s="4" t="str">
        <f t="shared" si="95"/>
        <v>10,00 2025.08.25</v>
      </c>
      <c r="BR189" s="4" t="str">
        <f t="shared" si="96"/>
        <v>21,06 2025.08.25</v>
      </c>
      <c r="BS189" s="4" t="str">
        <f t="shared" si="97"/>
        <v>П</v>
      </c>
      <c r="BT189" s="10">
        <f t="shared" si="98"/>
        <v>11.1000000000349</v>
      </c>
      <c r="BU189" s="42">
        <f t="shared" si="99"/>
        <v>2</v>
      </c>
      <c r="BV189" s="11">
        <f t="shared" si="100"/>
        <v>0</v>
      </c>
      <c r="BW189" s="11">
        <f t="shared" si="101"/>
        <v>0</v>
      </c>
      <c r="BX189" s="11">
        <f t="shared" si="102"/>
        <v>2</v>
      </c>
      <c r="BY189" s="11">
        <f t="shared" si="103"/>
        <v>0</v>
      </c>
      <c r="BZ189" s="11">
        <f t="shared" si="104"/>
        <v>0</v>
      </c>
      <c r="CA189" s="11">
        <f t="shared" si="105"/>
        <v>2</v>
      </c>
      <c r="CB189" s="42">
        <f t="shared" si="106"/>
        <v>0</v>
      </c>
      <c r="CC189" s="11">
        <f t="shared" si="107"/>
        <v>0</v>
      </c>
      <c r="CD189" s="11">
        <f t="shared" si="108"/>
        <v>1</v>
      </c>
      <c r="CE189" s="4"/>
      <c r="CF189" s="50">
        <f t="shared" si="109"/>
        <v>0</v>
      </c>
      <c r="CG189" s="50">
        <f t="shared" si="110"/>
        <v>0</v>
      </c>
      <c r="CH189" s="50">
        <f t="shared" si="111"/>
        <v>22.200000000069799</v>
      </c>
      <c r="CI189" s="50">
        <f t="shared" si="112"/>
        <v>2</v>
      </c>
      <c r="CJ189" s="50">
        <f t="shared" si="113"/>
        <v>0</v>
      </c>
      <c r="CK189" s="50">
        <f t="shared" si="114"/>
        <v>0</v>
      </c>
      <c r="CL189" s="50">
        <f t="shared" si="115"/>
        <v>0</v>
      </c>
      <c r="CM189" s="50">
        <f t="shared" si="116"/>
        <v>0</v>
      </c>
      <c r="CN189" s="50">
        <f t="shared" si="117"/>
        <v>22.200000000069799</v>
      </c>
      <c r="CO189" s="50">
        <f t="shared" si="118"/>
        <v>2</v>
      </c>
      <c r="CP189" s="50">
        <f t="shared" si="119"/>
        <v>0</v>
      </c>
      <c r="CQ189" s="50">
        <f t="shared" si="120"/>
        <v>0</v>
      </c>
      <c r="CR189"/>
    </row>
    <row r="190" spans="2:96" s="479" customFormat="1" ht="15.75" customHeight="1" x14ac:dyDescent="0.15">
      <c r="B190" s="59"/>
      <c r="D190" s="130">
        <v>21</v>
      </c>
      <c r="AA190" s="28" t="s">
        <v>701</v>
      </c>
      <c r="AB190" s="31" t="s">
        <v>1063</v>
      </c>
      <c r="AC190" s="247" t="s">
        <v>1445</v>
      </c>
      <c r="AD190" s="314" t="s">
        <v>110</v>
      </c>
      <c r="AE190" s="315" t="s">
        <v>1694</v>
      </c>
      <c r="AF190" s="316" t="s">
        <v>1432</v>
      </c>
      <c r="AG190" s="248" t="s">
        <v>1911</v>
      </c>
      <c r="AH190" s="248" t="s">
        <v>1912</v>
      </c>
      <c r="AI190" s="248" t="s">
        <v>100</v>
      </c>
      <c r="AJ190" s="317">
        <v>2.3166666665347302</v>
      </c>
      <c r="AK190" s="315" t="s">
        <v>1697</v>
      </c>
      <c r="AL190" s="315">
        <v>0</v>
      </c>
      <c r="AM190" s="315">
        <v>0</v>
      </c>
      <c r="AN190" s="42">
        <f t="shared" si="81"/>
        <v>1</v>
      </c>
      <c r="AO190" s="318">
        <v>0</v>
      </c>
      <c r="AP190" s="318">
        <v>0</v>
      </c>
      <c r="AQ190" s="318">
        <v>1</v>
      </c>
      <c r="AR190" s="318">
        <v>0</v>
      </c>
      <c r="AS190" s="318">
        <v>0</v>
      </c>
      <c r="AT190" s="318">
        <v>1</v>
      </c>
      <c r="AU190" s="42">
        <f t="shared" si="82"/>
        <v>0</v>
      </c>
      <c r="AV190" s="318">
        <v>0</v>
      </c>
      <c r="AW190" s="318">
        <v>230</v>
      </c>
      <c r="AX190" s="315"/>
      <c r="AY190" s="636"/>
      <c r="AZ190" s="319"/>
      <c r="BA190" s="319"/>
      <c r="BB190" s="318">
        <v>1</v>
      </c>
      <c r="BC190" s="9"/>
      <c r="BD190" s="9"/>
      <c r="BE190" s="50">
        <f t="shared" si="83"/>
        <v>0</v>
      </c>
      <c r="BF190" s="50">
        <f t="shared" si="84"/>
        <v>0</v>
      </c>
      <c r="BG190" s="50">
        <f t="shared" si="85"/>
        <v>2.3166666665347302</v>
      </c>
      <c r="BH190" s="50">
        <f t="shared" si="86"/>
        <v>1</v>
      </c>
      <c r="BI190" s="50">
        <f t="shared" si="87"/>
        <v>0</v>
      </c>
      <c r="BJ190" s="50">
        <f t="shared" si="88"/>
        <v>0</v>
      </c>
      <c r="BK190" s="50">
        <f t="shared" si="89"/>
        <v>0</v>
      </c>
      <c r="BL190" s="50">
        <f t="shared" si="90"/>
        <v>0</v>
      </c>
      <c r="BM190" s="50">
        <f t="shared" si="91"/>
        <v>2.3166666665347302</v>
      </c>
      <c r="BN190" s="50">
        <f t="shared" si="92"/>
        <v>1</v>
      </c>
      <c r="BO190" s="50">
        <f t="shared" si="93"/>
        <v>0</v>
      </c>
      <c r="BP190" s="50">
        <f t="shared" si="94"/>
        <v>0</v>
      </c>
      <c r="BQ190" s="4" t="str">
        <f t="shared" si="95"/>
        <v>10,47 2025.08.29</v>
      </c>
      <c r="BR190" s="4" t="str">
        <f t="shared" si="96"/>
        <v>13,06 2025.08.29</v>
      </c>
      <c r="BS190" s="4" t="str">
        <f t="shared" si="97"/>
        <v>П</v>
      </c>
      <c r="BT190" s="10">
        <f t="shared" si="98"/>
        <v>2.3166666665347302</v>
      </c>
      <c r="BU190" s="42">
        <f t="shared" si="99"/>
        <v>1</v>
      </c>
      <c r="BV190" s="11">
        <f t="shared" si="100"/>
        <v>0</v>
      </c>
      <c r="BW190" s="11">
        <f t="shared" si="101"/>
        <v>0</v>
      </c>
      <c r="BX190" s="11">
        <f t="shared" si="102"/>
        <v>1</v>
      </c>
      <c r="BY190" s="11">
        <f t="shared" si="103"/>
        <v>0</v>
      </c>
      <c r="BZ190" s="11">
        <f t="shared" si="104"/>
        <v>0</v>
      </c>
      <c r="CA190" s="11">
        <f t="shared" si="105"/>
        <v>1</v>
      </c>
      <c r="CB190" s="42">
        <f t="shared" si="106"/>
        <v>0</v>
      </c>
      <c r="CC190" s="11">
        <f t="shared" si="107"/>
        <v>0</v>
      </c>
      <c r="CD190" s="11">
        <f t="shared" si="108"/>
        <v>1</v>
      </c>
      <c r="CE190" s="4"/>
      <c r="CF190" s="50">
        <f t="shared" si="109"/>
        <v>0</v>
      </c>
      <c r="CG190" s="50">
        <f t="shared" si="110"/>
        <v>0</v>
      </c>
      <c r="CH190" s="50">
        <f t="shared" si="111"/>
        <v>2.3166666665347302</v>
      </c>
      <c r="CI190" s="50">
        <f t="shared" si="112"/>
        <v>1</v>
      </c>
      <c r="CJ190" s="50">
        <f t="shared" si="113"/>
        <v>0</v>
      </c>
      <c r="CK190" s="50">
        <f t="shared" si="114"/>
        <v>0</v>
      </c>
      <c r="CL190" s="50">
        <f t="shared" si="115"/>
        <v>0</v>
      </c>
      <c r="CM190" s="50">
        <f t="shared" si="116"/>
        <v>0</v>
      </c>
      <c r="CN190" s="50">
        <f t="shared" si="117"/>
        <v>2.3166666665347302</v>
      </c>
      <c r="CO190" s="50">
        <f t="shared" si="118"/>
        <v>1</v>
      </c>
      <c r="CP190" s="50">
        <f t="shared" si="119"/>
        <v>0</v>
      </c>
      <c r="CQ190" s="50">
        <f t="shared" si="120"/>
        <v>0</v>
      </c>
      <c r="CR190"/>
    </row>
    <row r="191" spans="2:96" s="480" customFormat="1" ht="15.75" customHeight="1" x14ac:dyDescent="0.15">
      <c r="B191" s="59"/>
      <c r="D191" s="130">
        <v>21</v>
      </c>
      <c r="AA191" s="28" t="s">
        <v>701</v>
      </c>
      <c r="AB191" s="31" t="s">
        <v>1064</v>
      </c>
      <c r="AC191" s="247" t="s">
        <v>1445</v>
      </c>
      <c r="AD191" s="314" t="s">
        <v>110</v>
      </c>
      <c r="AE191" s="315" t="s">
        <v>1913</v>
      </c>
      <c r="AF191" s="316" t="s">
        <v>1432</v>
      </c>
      <c r="AG191" s="248" t="s">
        <v>1914</v>
      </c>
      <c r="AH191" s="248" t="s">
        <v>1915</v>
      </c>
      <c r="AI191" s="248" t="s">
        <v>100</v>
      </c>
      <c r="AJ191" s="317">
        <v>2.7666666666045798</v>
      </c>
      <c r="AK191" s="315" t="s">
        <v>1916</v>
      </c>
      <c r="AL191" s="315">
        <v>0</v>
      </c>
      <c r="AM191" s="315">
        <v>0</v>
      </c>
      <c r="AN191" s="42">
        <f t="shared" si="81"/>
        <v>1</v>
      </c>
      <c r="AO191" s="318">
        <v>0</v>
      </c>
      <c r="AP191" s="318">
        <v>0</v>
      </c>
      <c r="AQ191" s="318">
        <v>1</v>
      </c>
      <c r="AR191" s="318">
        <v>0</v>
      </c>
      <c r="AS191" s="318">
        <v>0</v>
      </c>
      <c r="AT191" s="318">
        <v>1</v>
      </c>
      <c r="AU191" s="42">
        <f t="shared" si="82"/>
        <v>0</v>
      </c>
      <c r="AV191" s="318">
        <v>0</v>
      </c>
      <c r="AW191" s="318">
        <v>830</v>
      </c>
      <c r="AX191" s="315"/>
      <c r="AY191" s="636"/>
      <c r="AZ191" s="319"/>
      <c r="BA191" s="319"/>
      <c r="BB191" s="318">
        <v>1</v>
      </c>
      <c r="BC191" s="9"/>
      <c r="BD191" s="9"/>
      <c r="BE191" s="50">
        <f t="shared" si="83"/>
        <v>0</v>
      </c>
      <c r="BF191" s="50">
        <f t="shared" si="84"/>
        <v>0</v>
      </c>
      <c r="BG191" s="50">
        <f t="shared" si="85"/>
        <v>2.7666666666045798</v>
      </c>
      <c r="BH191" s="50">
        <f t="shared" si="86"/>
        <v>1</v>
      </c>
      <c r="BI191" s="50">
        <f t="shared" si="87"/>
        <v>0</v>
      </c>
      <c r="BJ191" s="50">
        <f t="shared" si="88"/>
        <v>0</v>
      </c>
      <c r="BK191" s="50">
        <f t="shared" si="89"/>
        <v>0</v>
      </c>
      <c r="BL191" s="50">
        <f t="shared" si="90"/>
        <v>0</v>
      </c>
      <c r="BM191" s="50">
        <f t="shared" si="91"/>
        <v>2.7666666666045798</v>
      </c>
      <c r="BN191" s="50">
        <f t="shared" si="92"/>
        <v>1</v>
      </c>
      <c r="BO191" s="50">
        <f t="shared" si="93"/>
        <v>0</v>
      </c>
      <c r="BP191" s="50">
        <f t="shared" si="94"/>
        <v>0</v>
      </c>
      <c r="BQ191" s="4" t="str">
        <f t="shared" si="95"/>
        <v>10,11 2025.08.30</v>
      </c>
      <c r="BR191" s="4" t="str">
        <f t="shared" si="96"/>
        <v>12,57 2025.08.30</v>
      </c>
      <c r="BS191" s="4" t="str">
        <f t="shared" si="97"/>
        <v>П</v>
      </c>
      <c r="BT191" s="10">
        <f t="shared" si="98"/>
        <v>2.7666666666045798</v>
      </c>
      <c r="BU191" s="42">
        <f t="shared" si="99"/>
        <v>1</v>
      </c>
      <c r="BV191" s="11">
        <f t="shared" si="100"/>
        <v>0</v>
      </c>
      <c r="BW191" s="11">
        <f t="shared" si="101"/>
        <v>0</v>
      </c>
      <c r="BX191" s="11">
        <f t="shared" si="102"/>
        <v>1</v>
      </c>
      <c r="BY191" s="11">
        <f t="shared" si="103"/>
        <v>0</v>
      </c>
      <c r="BZ191" s="11">
        <f t="shared" si="104"/>
        <v>0</v>
      </c>
      <c r="CA191" s="11">
        <f t="shared" si="105"/>
        <v>1</v>
      </c>
      <c r="CB191" s="42">
        <f t="shared" si="106"/>
        <v>0</v>
      </c>
      <c r="CC191" s="11">
        <f t="shared" si="107"/>
        <v>0</v>
      </c>
      <c r="CD191" s="11">
        <f t="shared" si="108"/>
        <v>1</v>
      </c>
      <c r="CE191" s="4"/>
      <c r="CF191" s="50">
        <f t="shared" si="109"/>
        <v>0</v>
      </c>
      <c r="CG191" s="50">
        <f t="shared" si="110"/>
        <v>0</v>
      </c>
      <c r="CH191" s="50">
        <f t="shared" si="111"/>
        <v>2.7666666666045798</v>
      </c>
      <c r="CI191" s="50">
        <f t="shared" si="112"/>
        <v>1</v>
      </c>
      <c r="CJ191" s="50">
        <f t="shared" si="113"/>
        <v>0</v>
      </c>
      <c r="CK191" s="50">
        <f t="shared" si="114"/>
        <v>0</v>
      </c>
      <c r="CL191" s="50">
        <f t="shared" si="115"/>
        <v>0</v>
      </c>
      <c r="CM191" s="50">
        <f t="shared" si="116"/>
        <v>0</v>
      </c>
      <c r="CN191" s="50">
        <f t="shared" si="117"/>
        <v>2.7666666666045798</v>
      </c>
      <c r="CO191" s="50">
        <f t="shared" si="118"/>
        <v>1</v>
      </c>
      <c r="CP191" s="50">
        <f t="shared" si="119"/>
        <v>0</v>
      </c>
      <c r="CQ191" s="50">
        <f t="shared" si="120"/>
        <v>0</v>
      </c>
      <c r="CR191"/>
    </row>
    <row r="192" spans="2:96" s="481" customFormat="1" ht="15.75" customHeight="1" x14ac:dyDescent="0.15">
      <c r="B192" s="59"/>
      <c r="D192" s="130">
        <v>21</v>
      </c>
      <c r="AA192" s="28" t="s">
        <v>701</v>
      </c>
      <c r="AB192" s="31" t="s">
        <v>1065</v>
      </c>
      <c r="AC192" s="247" t="s">
        <v>1627</v>
      </c>
      <c r="AD192" s="314" t="s">
        <v>110</v>
      </c>
      <c r="AE192" s="315" t="s">
        <v>1917</v>
      </c>
      <c r="AF192" s="316" t="s">
        <v>1432</v>
      </c>
      <c r="AG192" s="248" t="s">
        <v>1918</v>
      </c>
      <c r="AH192" s="248" t="s">
        <v>1919</v>
      </c>
      <c r="AI192" s="248" t="s">
        <v>122</v>
      </c>
      <c r="AJ192" s="317">
        <v>0.66666666656965401</v>
      </c>
      <c r="AK192" s="315" t="s">
        <v>1920</v>
      </c>
      <c r="AL192" s="315">
        <v>0</v>
      </c>
      <c r="AM192" s="315">
        <v>0</v>
      </c>
      <c r="AN192" s="42">
        <f t="shared" si="81"/>
        <v>4</v>
      </c>
      <c r="AO192" s="318">
        <v>0</v>
      </c>
      <c r="AP192" s="318">
        <v>0</v>
      </c>
      <c r="AQ192" s="318">
        <v>4</v>
      </c>
      <c r="AR192" s="318">
        <v>0</v>
      </c>
      <c r="AS192" s="318">
        <v>0</v>
      </c>
      <c r="AT192" s="318">
        <v>4</v>
      </c>
      <c r="AU192" s="42">
        <f t="shared" si="82"/>
        <v>0</v>
      </c>
      <c r="AV192" s="318">
        <v>0</v>
      </c>
      <c r="AW192" s="318">
        <v>936</v>
      </c>
      <c r="AX192" s="315"/>
      <c r="AY192" s="636" t="s">
        <v>2104</v>
      </c>
      <c r="AZ192" s="319" t="s">
        <v>195</v>
      </c>
      <c r="BA192" s="319" t="s">
        <v>2041</v>
      </c>
      <c r="BB192" s="318">
        <v>0</v>
      </c>
      <c r="BC192" s="9"/>
      <c r="BD192" s="9"/>
      <c r="BE192" s="50">
        <f t="shared" si="83"/>
        <v>0</v>
      </c>
      <c r="BF192" s="50">
        <f t="shared" si="84"/>
        <v>0</v>
      </c>
      <c r="BG192" s="50">
        <f t="shared" si="85"/>
        <v>0</v>
      </c>
      <c r="BH192" s="50">
        <f t="shared" si="86"/>
        <v>0</v>
      </c>
      <c r="BI192" s="50">
        <f t="shared" si="87"/>
        <v>0</v>
      </c>
      <c r="BJ192" s="50">
        <f t="shared" si="88"/>
        <v>0</v>
      </c>
      <c r="BK192" s="50">
        <f t="shared" si="89"/>
        <v>0</v>
      </c>
      <c r="BL192" s="50">
        <f t="shared" si="90"/>
        <v>0</v>
      </c>
      <c r="BM192" s="50">
        <f t="shared" si="91"/>
        <v>0</v>
      </c>
      <c r="BN192" s="50">
        <f t="shared" si="92"/>
        <v>0</v>
      </c>
      <c r="BO192" s="50">
        <f t="shared" si="93"/>
        <v>0</v>
      </c>
      <c r="BP192" s="50">
        <f t="shared" si="94"/>
        <v>0</v>
      </c>
      <c r="BQ192" s="4" t="str">
        <f t="shared" si="95"/>
        <v>06,56 2025.09.02</v>
      </c>
      <c r="BR192" s="4" t="str">
        <f t="shared" si="96"/>
        <v>07,36 2025.09.02</v>
      </c>
      <c r="BS192" s="4" t="str">
        <f t="shared" si="97"/>
        <v>В</v>
      </c>
      <c r="BT192" s="10">
        <f t="shared" si="98"/>
        <v>0.66666666656965401</v>
      </c>
      <c r="BU192" s="42">
        <f t="shared" si="99"/>
        <v>4</v>
      </c>
      <c r="BV192" s="11">
        <f t="shared" si="100"/>
        <v>0</v>
      </c>
      <c r="BW192" s="11">
        <f t="shared" si="101"/>
        <v>0</v>
      </c>
      <c r="BX192" s="11">
        <f t="shared" si="102"/>
        <v>4</v>
      </c>
      <c r="BY192" s="11">
        <f t="shared" si="103"/>
        <v>0</v>
      </c>
      <c r="BZ192" s="11">
        <f t="shared" si="104"/>
        <v>0</v>
      </c>
      <c r="CA192" s="11">
        <f t="shared" si="105"/>
        <v>4</v>
      </c>
      <c r="CB192" s="42">
        <f t="shared" si="106"/>
        <v>0</v>
      </c>
      <c r="CC192" s="11">
        <f t="shared" si="107"/>
        <v>0</v>
      </c>
      <c r="CD192" s="11">
        <f t="shared" si="108"/>
        <v>0</v>
      </c>
      <c r="CE192" s="4"/>
      <c r="CF192" s="50">
        <f t="shared" si="109"/>
        <v>0</v>
      </c>
      <c r="CG192" s="50">
        <f t="shared" si="110"/>
        <v>0</v>
      </c>
      <c r="CH192" s="50">
        <f t="shared" si="111"/>
        <v>0</v>
      </c>
      <c r="CI192" s="50">
        <f t="shared" si="112"/>
        <v>0</v>
      </c>
      <c r="CJ192" s="50">
        <f t="shared" si="113"/>
        <v>0</v>
      </c>
      <c r="CK192" s="50">
        <f t="shared" si="114"/>
        <v>0</v>
      </c>
      <c r="CL192" s="50">
        <f t="shared" si="115"/>
        <v>0</v>
      </c>
      <c r="CM192" s="50">
        <f t="shared" si="116"/>
        <v>0</v>
      </c>
      <c r="CN192" s="50">
        <f t="shared" si="117"/>
        <v>0</v>
      </c>
      <c r="CO192" s="50">
        <f t="shared" si="118"/>
        <v>0</v>
      </c>
      <c r="CP192" s="50">
        <f t="shared" si="119"/>
        <v>0</v>
      </c>
      <c r="CQ192" s="50">
        <f t="shared" si="120"/>
        <v>0</v>
      </c>
      <c r="CR192"/>
    </row>
    <row r="193" spans="2:96" s="482" customFormat="1" ht="15.75" customHeight="1" x14ac:dyDescent="0.15">
      <c r="B193" s="59"/>
      <c r="D193" s="130">
        <v>21</v>
      </c>
      <c r="AA193" s="28" t="s">
        <v>701</v>
      </c>
      <c r="AB193" s="31" t="s">
        <v>1066</v>
      </c>
      <c r="AC193" s="247" t="s">
        <v>1445</v>
      </c>
      <c r="AD193" s="314" t="s">
        <v>110</v>
      </c>
      <c r="AE193" s="315" t="s">
        <v>1873</v>
      </c>
      <c r="AF193" s="316" t="s">
        <v>1432</v>
      </c>
      <c r="AG193" s="248" t="s">
        <v>1921</v>
      </c>
      <c r="AH193" s="248" t="s">
        <v>1922</v>
      </c>
      <c r="AI193" s="248" t="s">
        <v>100</v>
      </c>
      <c r="AJ193" s="317">
        <v>2.3666666666977099</v>
      </c>
      <c r="AK193" s="315" t="s">
        <v>1875</v>
      </c>
      <c r="AL193" s="315">
        <v>0</v>
      </c>
      <c r="AM193" s="315">
        <v>0</v>
      </c>
      <c r="AN193" s="42">
        <f t="shared" si="81"/>
        <v>1</v>
      </c>
      <c r="AO193" s="318">
        <v>0</v>
      </c>
      <c r="AP193" s="318">
        <v>0</v>
      </c>
      <c r="AQ193" s="318">
        <v>1</v>
      </c>
      <c r="AR193" s="318">
        <v>0</v>
      </c>
      <c r="AS193" s="318">
        <v>0</v>
      </c>
      <c r="AT193" s="318">
        <v>1</v>
      </c>
      <c r="AU193" s="42">
        <f t="shared" si="82"/>
        <v>0</v>
      </c>
      <c r="AV193" s="318">
        <v>0</v>
      </c>
      <c r="AW193" s="318">
        <v>267</v>
      </c>
      <c r="AX193" s="315"/>
      <c r="AY193" s="636"/>
      <c r="AZ193" s="319"/>
      <c r="BA193" s="319"/>
      <c r="BB193" s="318">
        <v>1</v>
      </c>
      <c r="BC193" s="9"/>
      <c r="BD193" s="9"/>
      <c r="BE193" s="50">
        <f t="shared" si="83"/>
        <v>0</v>
      </c>
      <c r="BF193" s="50">
        <f t="shared" si="84"/>
        <v>0</v>
      </c>
      <c r="BG193" s="50">
        <f t="shared" si="85"/>
        <v>2.3666666666977099</v>
      </c>
      <c r="BH193" s="50">
        <f t="shared" si="86"/>
        <v>1</v>
      </c>
      <c r="BI193" s="50">
        <f t="shared" si="87"/>
        <v>0</v>
      </c>
      <c r="BJ193" s="50">
        <f t="shared" si="88"/>
        <v>0</v>
      </c>
      <c r="BK193" s="50">
        <f t="shared" si="89"/>
        <v>0</v>
      </c>
      <c r="BL193" s="50">
        <f t="shared" si="90"/>
        <v>0</v>
      </c>
      <c r="BM193" s="50">
        <f t="shared" si="91"/>
        <v>2.3666666666977099</v>
      </c>
      <c r="BN193" s="50">
        <f t="shared" si="92"/>
        <v>1</v>
      </c>
      <c r="BO193" s="50">
        <f t="shared" si="93"/>
        <v>0</v>
      </c>
      <c r="BP193" s="50">
        <f t="shared" si="94"/>
        <v>0</v>
      </c>
      <c r="BQ193" s="4" t="str">
        <f t="shared" si="95"/>
        <v>11,12 2025.09.02</v>
      </c>
      <c r="BR193" s="4" t="str">
        <f t="shared" si="96"/>
        <v>13,34 2025.09.02</v>
      </c>
      <c r="BS193" s="4" t="str">
        <f t="shared" si="97"/>
        <v>П</v>
      </c>
      <c r="BT193" s="10">
        <f t="shared" si="98"/>
        <v>2.3666666666977099</v>
      </c>
      <c r="BU193" s="42">
        <f t="shared" si="99"/>
        <v>1</v>
      </c>
      <c r="BV193" s="11">
        <f t="shared" si="100"/>
        <v>0</v>
      </c>
      <c r="BW193" s="11">
        <f t="shared" si="101"/>
        <v>0</v>
      </c>
      <c r="BX193" s="11">
        <f t="shared" si="102"/>
        <v>1</v>
      </c>
      <c r="BY193" s="11">
        <f t="shared" si="103"/>
        <v>0</v>
      </c>
      <c r="BZ193" s="11">
        <f t="shared" si="104"/>
        <v>0</v>
      </c>
      <c r="CA193" s="11">
        <f t="shared" si="105"/>
        <v>1</v>
      </c>
      <c r="CB193" s="42">
        <f t="shared" si="106"/>
        <v>0</v>
      </c>
      <c r="CC193" s="11">
        <f t="shared" si="107"/>
        <v>0</v>
      </c>
      <c r="CD193" s="11">
        <f t="shared" si="108"/>
        <v>1</v>
      </c>
      <c r="CE193" s="4"/>
      <c r="CF193" s="50">
        <f t="shared" si="109"/>
        <v>0</v>
      </c>
      <c r="CG193" s="50">
        <f t="shared" si="110"/>
        <v>0</v>
      </c>
      <c r="CH193" s="50">
        <f t="shared" si="111"/>
        <v>2.3666666666977099</v>
      </c>
      <c r="CI193" s="50">
        <f t="shared" si="112"/>
        <v>1</v>
      </c>
      <c r="CJ193" s="50">
        <f t="shared" si="113"/>
        <v>0</v>
      </c>
      <c r="CK193" s="50">
        <f t="shared" si="114"/>
        <v>0</v>
      </c>
      <c r="CL193" s="50">
        <f t="shared" si="115"/>
        <v>0</v>
      </c>
      <c r="CM193" s="50">
        <f t="shared" si="116"/>
        <v>0</v>
      </c>
      <c r="CN193" s="50">
        <f t="shared" si="117"/>
        <v>2.3666666666977099</v>
      </c>
      <c r="CO193" s="50">
        <f t="shared" si="118"/>
        <v>1</v>
      </c>
      <c r="CP193" s="50">
        <f t="shared" si="119"/>
        <v>0</v>
      </c>
      <c r="CQ193" s="50">
        <f t="shared" si="120"/>
        <v>0</v>
      </c>
      <c r="CR193"/>
    </row>
    <row r="194" spans="2:96" s="483" customFormat="1" ht="15.75" customHeight="1" x14ac:dyDescent="0.15">
      <c r="B194" s="59"/>
      <c r="D194" s="130">
        <v>21</v>
      </c>
      <c r="AA194" s="28" t="s">
        <v>701</v>
      </c>
      <c r="AB194" s="31" t="s">
        <v>1067</v>
      </c>
      <c r="AC194" s="247" t="s">
        <v>1435</v>
      </c>
      <c r="AD194" s="314" t="s">
        <v>110</v>
      </c>
      <c r="AE194" s="315" t="s">
        <v>1923</v>
      </c>
      <c r="AF194" s="316" t="s">
        <v>1432</v>
      </c>
      <c r="AG194" s="248" t="s">
        <v>1924</v>
      </c>
      <c r="AH194" s="248" t="s">
        <v>1925</v>
      </c>
      <c r="AI194" s="248" t="s">
        <v>100</v>
      </c>
      <c r="AJ194" s="317">
        <v>5.5166666666627897</v>
      </c>
      <c r="AK194" s="315" t="s">
        <v>1926</v>
      </c>
      <c r="AL194" s="315">
        <v>0</v>
      </c>
      <c r="AM194" s="315">
        <v>0</v>
      </c>
      <c r="AN194" s="42">
        <f t="shared" si="81"/>
        <v>1</v>
      </c>
      <c r="AO194" s="318">
        <v>0</v>
      </c>
      <c r="AP194" s="318">
        <v>0</v>
      </c>
      <c r="AQ194" s="318">
        <v>1</v>
      </c>
      <c r="AR194" s="318">
        <v>0</v>
      </c>
      <c r="AS194" s="318">
        <v>0</v>
      </c>
      <c r="AT194" s="318">
        <v>1</v>
      </c>
      <c r="AU194" s="42">
        <f t="shared" si="82"/>
        <v>0</v>
      </c>
      <c r="AV194" s="318">
        <v>0</v>
      </c>
      <c r="AW194" s="318">
        <v>310</v>
      </c>
      <c r="AX194" s="315"/>
      <c r="AY194" s="636"/>
      <c r="AZ194" s="319"/>
      <c r="BA194" s="319"/>
      <c r="BB194" s="318">
        <v>1</v>
      </c>
      <c r="BC194" s="9"/>
      <c r="BD194" s="9"/>
      <c r="BE194" s="50">
        <f t="shared" si="83"/>
        <v>0</v>
      </c>
      <c r="BF194" s="50">
        <f t="shared" si="84"/>
        <v>0</v>
      </c>
      <c r="BG194" s="50">
        <f t="shared" si="85"/>
        <v>5.5166666666627897</v>
      </c>
      <c r="BH194" s="50">
        <f t="shared" si="86"/>
        <v>1</v>
      </c>
      <c r="BI194" s="50">
        <f t="shared" si="87"/>
        <v>0</v>
      </c>
      <c r="BJ194" s="50">
        <f t="shared" si="88"/>
        <v>0</v>
      </c>
      <c r="BK194" s="50">
        <f t="shared" si="89"/>
        <v>0</v>
      </c>
      <c r="BL194" s="50">
        <f t="shared" si="90"/>
        <v>0</v>
      </c>
      <c r="BM194" s="50">
        <f t="shared" si="91"/>
        <v>5.5166666666627897</v>
      </c>
      <c r="BN194" s="50">
        <f t="shared" si="92"/>
        <v>1</v>
      </c>
      <c r="BO194" s="50">
        <f t="shared" si="93"/>
        <v>0</v>
      </c>
      <c r="BP194" s="50">
        <f t="shared" si="94"/>
        <v>0</v>
      </c>
      <c r="BQ194" s="4" t="str">
        <f t="shared" si="95"/>
        <v>11,22 2025.09.04</v>
      </c>
      <c r="BR194" s="4" t="str">
        <f t="shared" si="96"/>
        <v>16,53 2025.09.04</v>
      </c>
      <c r="BS194" s="4" t="str">
        <f t="shared" si="97"/>
        <v>П</v>
      </c>
      <c r="BT194" s="10">
        <f t="shared" si="98"/>
        <v>5.5166666666627897</v>
      </c>
      <c r="BU194" s="42">
        <f t="shared" si="99"/>
        <v>1</v>
      </c>
      <c r="BV194" s="11">
        <f t="shared" si="100"/>
        <v>0</v>
      </c>
      <c r="BW194" s="11">
        <f t="shared" si="101"/>
        <v>0</v>
      </c>
      <c r="BX194" s="11">
        <f t="shared" si="102"/>
        <v>1</v>
      </c>
      <c r="BY194" s="11">
        <f t="shared" si="103"/>
        <v>0</v>
      </c>
      <c r="BZ194" s="11">
        <f t="shared" si="104"/>
        <v>0</v>
      </c>
      <c r="CA194" s="11">
        <f t="shared" si="105"/>
        <v>1</v>
      </c>
      <c r="CB194" s="42">
        <f t="shared" si="106"/>
        <v>0</v>
      </c>
      <c r="CC194" s="11">
        <f t="shared" si="107"/>
        <v>0</v>
      </c>
      <c r="CD194" s="11">
        <f t="shared" si="108"/>
        <v>1</v>
      </c>
      <c r="CE194" s="4"/>
      <c r="CF194" s="50">
        <f t="shared" si="109"/>
        <v>0</v>
      </c>
      <c r="CG194" s="50">
        <f t="shared" si="110"/>
        <v>0</v>
      </c>
      <c r="CH194" s="50">
        <f t="shared" si="111"/>
        <v>5.5166666666627897</v>
      </c>
      <c r="CI194" s="50">
        <f t="shared" si="112"/>
        <v>1</v>
      </c>
      <c r="CJ194" s="50">
        <f t="shared" si="113"/>
        <v>0</v>
      </c>
      <c r="CK194" s="50">
        <f t="shared" si="114"/>
        <v>0</v>
      </c>
      <c r="CL194" s="50">
        <f t="shared" si="115"/>
        <v>0</v>
      </c>
      <c r="CM194" s="50">
        <f t="shared" si="116"/>
        <v>0</v>
      </c>
      <c r="CN194" s="50">
        <f t="shared" si="117"/>
        <v>5.5166666666627897</v>
      </c>
      <c r="CO194" s="50">
        <f t="shared" si="118"/>
        <v>1</v>
      </c>
      <c r="CP194" s="50">
        <f t="shared" si="119"/>
        <v>0</v>
      </c>
      <c r="CQ194" s="50">
        <f t="shared" si="120"/>
        <v>0</v>
      </c>
      <c r="CR194"/>
    </row>
    <row r="195" spans="2:96" s="484" customFormat="1" ht="15.75" customHeight="1" x14ac:dyDescent="0.15">
      <c r="B195" s="59"/>
      <c r="D195" s="130">
        <v>21</v>
      </c>
      <c r="AA195" s="28" t="s">
        <v>701</v>
      </c>
      <c r="AB195" s="31" t="s">
        <v>1068</v>
      </c>
      <c r="AC195" s="247" t="s">
        <v>1445</v>
      </c>
      <c r="AD195" s="314" t="s">
        <v>110</v>
      </c>
      <c r="AE195" s="315" t="s">
        <v>1927</v>
      </c>
      <c r="AF195" s="316" t="s">
        <v>1432</v>
      </c>
      <c r="AG195" s="248" t="s">
        <v>1928</v>
      </c>
      <c r="AH195" s="248" t="s">
        <v>1929</v>
      </c>
      <c r="AI195" s="248" t="s">
        <v>100</v>
      </c>
      <c r="AJ195" s="317">
        <v>1.5333333334419901</v>
      </c>
      <c r="AK195" s="315" t="s">
        <v>1930</v>
      </c>
      <c r="AL195" s="315">
        <v>0</v>
      </c>
      <c r="AM195" s="315">
        <v>0</v>
      </c>
      <c r="AN195" s="42">
        <f t="shared" si="81"/>
        <v>1</v>
      </c>
      <c r="AO195" s="318">
        <v>0</v>
      </c>
      <c r="AP195" s="318">
        <v>0</v>
      </c>
      <c r="AQ195" s="318">
        <v>1</v>
      </c>
      <c r="AR195" s="318">
        <v>0</v>
      </c>
      <c r="AS195" s="318">
        <v>0</v>
      </c>
      <c r="AT195" s="318">
        <v>1</v>
      </c>
      <c r="AU195" s="42">
        <f t="shared" si="82"/>
        <v>0</v>
      </c>
      <c r="AV195" s="318">
        <v>0</v>
      </c>
      <c r="AW195" s="318">
        <v>260</v>
      </c>
      <c r="AX195" s="315"/>
      <c r="AY195" s="636"/>
      <c r="AZ195" s="319"/>
      <c r="BA195" s="319"/>
      <c r="BB195" s="318">
        <v>1</v>
      </c>
      <c r="BC195" s="9"/>
      <c r="BD195" s="9"/>
      <c r="BE195" s="50">
        <f t="shared" si="83"/>
        <v>0</v>
      </c>
      <c r="BF195" s="50">
        <f t="shared" si="84"/>
        <v>0</v>
      </c>
      <c r="BG195" s="50">
        <f t="shared" si="85"/>
        <v>1.5333333334419901</v>
      </c>
      <c r="BH195" s="50">
        <f t="shared" si="86"/>
        <v>1</v>
      </c>
      <c r="BI195" s="50">
        <f t="shared" si="87"/>
        <v>0</v>
      </c>
      <c r="BJ195" s="50">
        <f t="shared" si="88"/>
        <v>0</v>
      </c>
      <c r="BK195" s="50">
        <f t="shared" si="89"/>
        <v>0</v>
      </c>
      <c r="BL195" s="50">
        <f t="shared" si="90"/>
        <v>0</v>
      </c>
      <c r="BM195" s="50">
        <f t="shared" si="91"/>
        <v>1.5333333334419901</v>
      </c>
      <c r="BN195" s="50">
        <f t="shared" si="92"/>
        <v>1</v>
      </c>
      <c r="BO195" s="50">
        <f t="shared" si="93"/>
        <v>0</v>
      </c>
      <c r="BP195" s="50">
        <f t="shared" si="94"/>
        <v>0</v>
      </c>
      <c r="BQ195" s="4" t="str">
        <f t="shared" si="95"/>
        <v>17,56 2025.09.06</v>
      </c>
      <c r="BR195" s="4" t="str">
        <f t="shared" si="96"/>
        <v>19,28 2025.09.06</v>
      </c>
      <c r="BS195" s="4" t="str">
        <f t="shared" si="97"/>
        <v>П</v>
      </c>
      <c r="BT195" s="10">
        <f t="shared" si="98"/>
        <v>1.5333333334419901</v>
      </c>
      <c r="BU195" s="42">
        <f t="shared" si="99"/>
        <v>1</v>
      </c>
      <c r="BV195" s="11">
        <f t="shared" si="100"/>
        <v>0</v>
      </c>
      <c r="BW195" s="11">
        <f t="shared" si="101"/>
        <v>0</v>
      </c>
      <c r="BX195" s="11">
        <f t="shared" si="102"/>
        <v>1</v>
      </c>
      <c r="BY195" s="11">
        <f t="shared" si="103"/>
        <v>0</v>
      </c>
      <c r="BZ195" s="11">
        <f t="shared" si="104"/>
        <v>0</v>
      </c>
      <c r="CA195" s="11">
        <f t="shared" si="105"/>
        <v>1</v>
      </c>
      <c r="CB195" s="42">
        <f t="shared" si="106"/>
        <v>0</v>
      </c>
      <c r="CC195" s="11">
        <f t="shared" si="107"/>
        <v>0</v>
      </c>
      <c r="CD195" s="11">
        <f t="shared" si="108"/>
        <v>1</v>
      </c>
      <c r="CE195" s="4"/>
      <c r="CF195" s="50">
        <f t="shared" si="109"/>
        <v>0</v>
      </c>
      <c r="CG195" s="50">
        <f t="shared" si="110"/>
        <v>0</v>
      </c>
      <c r="CH195" s="50">
        <f t="shared" si="111"/>
        <v>1.5333333334419901</v>
      </c>
      <c r="CI195" s="50">
        <f t="shared" si="112"/>
        <v>1</v>
      </c>
      <c r="CJ195" s="50">
        <f t="shared" si="113"/>
        <v>0</v>
      </c>
      <c r="CK195" s="50">
        <f t="shared" si="114"/>
        <v>0</v>
      </c>
      <c r="CL195" s="50">
        <f t="shared" si="115"/>
        <v>0</v>
      </c>
      <c r="CM195" s="50">
        <f t="shared" si="116"/>
        <v>0</v>
      </c>
      <c r="CN195" s="50">
        <f t="shared" si="117"/>
        <v>1.5333333334419901</v>
      </c>
      <c r="CO195" s="50">
        <f t="shared" si="118"/>
        <v>1</v>
      </c>
      <c r="CP195" s="50">
        <f t="shared" si="119"/>
        <v>0</v>
      </c>
      <c r="CQ195" s="50">
        <f t="shared" si="120"/>
        <v>0</v>
      </c>
      <c r="CR195"/>
    </row>
    <row r="196" spans="2:96" s="485" customFormat="1" ht="15.75" customHeight="1" x14ac:dyDescent="0.15">
      <c r="B196" s="59"/>
      <c r="D196" s="130">
        <v>21</v>
      </c>
      <c r="AA196" s="28" t="s">
        <v>701</v>
      </c>
      <c r="AB196" s="31" t="s">
        <v>1069</v>
      </c>
      <c r="AC196" s="247" t="s">
        <v>1445</v>
      </c>
      <c r="AD196" s="314" t="s">
        <v>110</v>
      </c>
      <c r="AE196" s="315" t="s">
        <v>1873</v>
      </c>
      <c r="AF196" s="316" t="s">
        <v>1432</v>
      </c>
      <c r="AG196" s="248" t="s">
        <v>1931</v>
      </c>
      <c r="AH196" s="248" t="s">
        <v>1932</v>
      </c>
      <c r="AI196" s="248" t="s">
        <v>100</v>
      </c>
      <c r="AJ196" s="317">
        <v>1.1500000000814901</v>
      </c>
      <c r="AK196" s="315" t="s">
        <v>1875</v>
      </c>
      <c r="AL196" s="315">
        <v>0</v>
      </c>
      <c r="AM196" s="315">
        <v>0</v>
      </c>
      <c r="AN196" s="42">
        <f t="shared" si="81"/>
        <v>1</v>
      </c>
      <c r="AO196" s="318">
        <v>0</v>
      </c>
      <c r="AP196" s="318">
        <v>0</v>
      </c>
      <c r="AQ196" s="318">
        <v>1</v>
      </c>
      <c r="AR196" s="318">
        <v>0</v>
      </c>
      <c r="AS196" s="318">
        <v>0</v>
      </c>
      <c r="AT196" s="318">
        <v>1</v>
      </c>
      <c r="AU196" s="42">
        <f t="shared" si="82"/>
        <v>0</v>
      </c>
      <c r="AV196" s="318">
        <v>0</v>
      </c>
      <c r="AW196" s="318">
        <v>267</v>
      </c>
      <c r="AX196" s="315"/>
      <c r="AY196" s="636"/>
      <c r="AZ196" s="319"/>
      <c r="BA196" s="319"/>
      <c r="BB196" s="318">
        <v>1</v>
      </c>
      <c r="BC196" s="9"/>
      <c r="BD196" s="9"/>
      <c r="BE196" s="50">
        <f t="shared" si="83"/>
        <v>0</v>
      </c>
      <c r="BF196" s="50">
        <f t="shared" si="84"/>
        <v>0</v>
      </c>
      <c r="BG196" s="50">
        <f t="shared" si="85"/>
        <v>1.1500000000814901</v>
      </c>
      <c r="BH196" s="50">
        <f t="shared" si="86"/>
        <v>1</v>
      </c>
      <c r="BI196" s="50">
        <f t="shared" si="87"/>
        <v>0</v>
      </c>
      <c r="BJ196" s="50">
        <f t="shared" si="88"/>
        <v>0</v>
      </c>
      <c r="BK196" s="50">
        <f t="shared" si="89"/>
        <v>0</v>
      </c>
      <c r="BL196" s="50">
        <f t="shared" si="90"/>
        <v>0</v>
      </c>
      <c r="BM196" s="50">
        <f t="shared" si="91"/>
        <v>1.1500000000814901</v>
      </c>
      <c r="BN196" s="50">
        <f t="shared" si="92"/>
        <v>1</v>
      </c>
      <c r="BO196" s="50">
        <f t="shared" si="93"/>
        <v>0</v>
      </c>
      <c r="BP196" s="50">
        <f t="shared" si="94"/>
        <v>0</v>
      </c>
      <c r="BQ196" s="4" t="str">
        <f t="shared" si="95"/>
        <v>11,56 2025.09.08</v>
      </c>
      <c r="BR196" s="4" t="str">
        <f t="shared" si="96"/>
        <v>13,05 2025.09.08</v>
      </c>
      <c r="BS196" s="4" t="str">
        <f t="shared" si="97"/>
        <v>П</v>
      </c>
      <c r="BT196" s="10">
        <f t="shared" si="98"/>
        <v>1.1500000000814901</v>
      </c>
      <c r="BU196" s="42">
        <f t="shared" si="99"/>
        <v>1</v>
      </c>
      <c r="BV196" s="11">
        <f t="shared" si="100"/>
        <v>0</v>
      </c>
      <c r="BW196" s="11">
        <f t="shared" si="101"/>
        <v>0</v>
      </c>
      <c r="BX196" s="11">
        <f t="shared" si="102"/>
        <v>1</v>
      </c>
      <c r="BY196" s="11">
        <f t="shared" si="103"/>
        <v>0</v>
      </c>
      <c r="BZ196" s="11">
        <f t="shared" si="104"/>
        <v>0</v>
      </c>
      <c r="CA196" s="11">
        <f t="shared" si="105"/>
        <v>1</v>
      </c>
      <c r="CB196" s="42">
        <f t="shared" si="106"/>
        <v>0</v>
      </c>
      <c r="CC196" s="11">
        <f t="shared" si="107"/>
        <v>0</v>
      </c>
      <c r="CD196" s="11">
        <f t="shared" si="108"/>
        <v>1</v>
      </c>
      <c r="CE196" s="4"/>
      <c r="CF196" s="50">
        <f t="shared" si="109"/>
        <v>0</v>
      </c>
      <c r="CG196" s="50">
        <f t="shared" si="110"/>
        <v>0</v>
      </c>
      <c r="CH196" s="50">
        <f t="shared" si="111"/>
        <v>1.1500000000814901</v>
      </c>
      <c r="CI196" s="50">
        <f t="shared" si="112"/>
        <v>1</v>
      </c>
      <c r="CJ196" s="50">
        <f t="shared" si="113"/>
        <v>0</v>
      </c>
      <c r="CK196" s="50">
        <f t="shared" si="114"/>
        <v>0</v>
      </c>
      <c r="CL196" s="50">
        <f t="shared" si="115"/>
        <v>0</v>
      </c>
      <c r="CM196" s="50">
        <f t="shared" si="116"/>
        <v>0</v>
      </c>
      <c r="CN196" s="50">
        <f t="shared" si="117"/>
        <v>1.1500000000814901</v>
      </c>
      <c r="CO196" s="50">
        <f t="shared" si="118"/>
        <v>1</v>
      </c>
      <c r="CP196" s="50">
        <f t="shared" si="119"/>
        <v>0</v>
      </c>
      <c r="CQ196" s="50">
        <f t="shared" si="120"/>
        <v>0</v>
      </c>
      <c r="CR196"/>
    </row>
    <row r="197" spans="2:96" s="486" customFormat="1" ht="15.75" customHeight="1" x14ac:dyDescent="0.15">
      <c r="B197" s="59"/>
      <c r="D197" s="130">
        <v>21</v>
      </c>
      <c r="AA197" s="28" t="s">
        <v>701</v>
      </c>
      <c r="AB197" s="31" t="s">
        <v>1070</v>
      </c>
      <c r="AC197" s="247" t="s">
        <v>1445</v>
      </c>
      <c r="AD197" s="314" t="s">
        <v>110</v>
      </c>
      <c r="AE197" s="315" t="s">
        <v>1636</v>
      </c>
      <c r="AF197" s="316" t="s">
        <v>1432</v>
      </c>
      <c r="AG197" s="248" t="s">
        <v>1933</v>
      </c>
      <c r="AH197" s="248" t="s">
        <v>1934</v>
      </c>
      <c r="AI197" s="248" t="s">
        <v>100</v>
      </c>
      <c r="AJ197" s="317">
        <v>1.91666666662786</v>
      </c>
      <c r="AK197" s="315" t="s">
        <v>1639</v>
      </c>
      <c r="AL197" s="315">
        <v>0</v>
      </c>
      <c r="AM197" s="315">
        <v>0</v>
      </c>
      <c r="AN197" s="42">
        <f t="shared" si="81"/>
        <v>1</v>
      </c>
      <c r="AO197" s="318">
        <v>0</v>
      </c>
      <c r="AP197" s="318">
        <v>0</v>
      </c>
      <c r="AQ197" s="318">
        <v>1</v>
      </c>
      <c r="AR197" s="318">
        <v>0</v>
      </c>
      <c r="AS197" s="318">
        <v>0</v>
      </c>
      <c r="AT197" s="318">
        <v>1</v>
      </c>
      <c r="AU197" s="42">
        <f t="shared" si="82"/>
        <v>0</v>
      </c>
      <c r="AV197" s="318">
        <v>0</v>
      </c>
      <c r="AW197" s="318">
        <v>700</v>
      </c>
      <c r="AX197" s="315"/>
      <c r="AY197" s="636"/>
      <c r="AZ197" s="319"/>
      <c r="BA197" s="319"/>
      <c r="BB197" s="318">
        <v>1</v>
      </c>
      <c r="BC197" s="9"/>
      <c r="BD197" s="9"/>
      <c r="BE197" s="50">
        <f t="shared" si="83"/>
        <v>0</v>
      </c>
      <c r="BF197" s="50">
        <f t="shared" si="84"/>
        <v>0</v>
      </c>
      <c r="BG197" s="50">
        <f t="shared" si="85"/>
        <v>1.91666666662786</v>
      </c>
      <c r="BH197" s="50">
        <f t="shared" si="86"/>
        <v>1</v>
      </c>
      <c r="BI197" s="50">
        <f t="shared" si="87"/>
        <v>0</v>
      </c>
      <c r="BJ197" s="50">
        <f t="shared" si="88"/>
        <v>0</v>
      </c>
      <c r="BK197" s="50">
        <f t="shared" si="89"/>
        <v>0</v>
      </c>
      <c r="BL197" s="50">
        <f t="shared" si="90"/>
        <v>0</v>
      </c>
      <c r="BM197" s="50">
        <f t="shared" si="91"/>
        <v>1.91666666662786</v>
      </c>
      <c r="BN197" s="50">
        <f t="shared" si="92"/>
        <v>1</v>
      </c>
      <c r="BO197" s="50">
        <f t="shared" si="93"/>
        <v>0</v>
      </c>
      <c r="BP197" s="50">
        <f t="shared" si="94"/>
        <v>0</v>
      </c>
      <c r="BQ197" s="4" t="str">
        <f t="shared" si="95"/>
        <v>11,10 2025.09.17</v>
      </c>
      <c r="BR197" s="4" t="str">
        <f t="shared" si="96"/>
        <v>13,05 2025.09.17</v>
      </c>
      <c r="BS197" s="4" t="str">
        <f t="shared" si="97"/>
        <v>П</v>
      </c>
      <c r="BT197" s="10">
        <f t="shared" si="98"/>
        <v>1.91666666662786</v>
      </c>
      <c r="BU197" s="42">
        <f t="shared" si="99"/>
        <v>1</v>
      </c>
      <c r="BV197" s="11">
        <f t="shared" si="100"/>
        <v>0</v>
      </c>
      <c r="BW197" s="11">
        <f t="shared" si="101"/>
        <v>0</v>
      </c>
      <c r="BX197" s="11">
        <f t="shared" si="102"/>
        <v>1</v>
      </c>
      <c r="BY197" s="11">
        <f t="shared" si="103"/>
        <v>0</v>
      </c>
      <c r="BZ197" s="11">
        <f t="shared" si="104"/>
        <v>0</v>
      </c>
      <c r="CA197" s="11">
        <f t="shared" si="105"/>
        <v>1</v>
      </c>
      <c r="CB197" s="42">
        <f t="shared" si="106"/>
        <v>0</v>
      </c>
      <c r="CC197" s="11">
        <f t="shared" si="107"/>
        <v>0</v>
      </c>
      <c r="CD197" s="11">
        <f t="shared" si="108"/>
        <v>1</v>
      </c>
      <c r="CE197" s="4"/>
      <c r="CF197" s="50">
        <f t="shared" si="109"/>
        <v>0</v>
      </c>
      <c r="CG197" s="50">
        <f t="shared" si="110"/>
        <v>0</v>
      </c>
      <c r="CH197" s="50">
        <f t="shared" si="111"/>
        <v>1.91666666662786</v>
      </c>
      <c r="CI197" s="50">
        <f t="shared" si="112"/>
        <v>1</v>
      </c>
      <c r="CJ197" s="50">
        <f t="shared" si="113"/>
        <v>0</v>
      </c>
      <c r="CK197" s="50">
        <f t="shared" si="114"/>
        <v>0</v>
      </c>
      <c r="CL197" s="50">
        <f t="shared" si="115"/>
        <v>0</v>
      </c>
      <c r="CM197" s="50">
        <f t="shared" si="116"/>
        <v>0</v>
      </c>
      <c r="CN197" s="50">
        <f t="shared" si="117"/>
        <v>1.91666666662786</v>
      </c>
      <c r="CO197" s="50">
        <f t="shared" si="118"/>
        <v>1</v>
      </c>
      <c r="CP197" s="50">
        <f t="shared" si="119"/>
        <v>0</v>
      </c>
      <c r="CQ197" s="50">
        <f t="shared" si="120"/>
        <v>0</v>
      </c>
      <c r="CR197"/>
    </row>
    <row r="198" spans="2:96" s="487" customFormat="1" ht="15.75" customHeight="1" x14ac:dyDescent="0.15">
      <c r="B198" s="59"/>
      <c r="D198" s="130">
        <v>21</v>
      </c>
      <c r="AA198" s="28" t="s">
        <v>701</v>
      </c>
      <c r="AB198" s="31" t="s">
        <v>1071</v>
      </c>
      <c r="AC198" s="247" t="s">
        <v>1627</v>
      </c>
      <c r="AD198" s="314" t="s">
        <v>110</v>
      </c>
      <c r="AE198" s="315" t="s">
        <v>1747</v>
      </c>
      <c r="AF198" s="316" t="s">
        <v>1432</v>
      </c>
      <c r="AG198" s="248" t="s">
        <v>1935</v>
      </c>
      <c r="AH198" s="248" t="s">
        <v>1936</v>
      </c>
      <c r="AI198" s="248" t="s">
        <v>100</v>
      </c>
      <c r="AJ198" s="317">
        <v>15.416666666802501</v>
      </c>
      <c r="AK198" s="315" t="s">
        <v>1749</v>
      </c>
      <c r="AL198" s="315">
        <v>0</v>
      </c>
      <c r="AM198" s="315">
        <v>0</v>
      </c>
      <c r="AN198" s="42">
        <f t="shared" si="81"/>
        <v>1</v>
      </c>
      <c r="AO198" s="318">
        <v>0</v>
      </c>
      <c r="AP198" s="318">
        <v>0</v>
      </c>
      <c r="AQ198" s="318">
        <v>1</v>
      </c>
      <c r="AR198" s="318">
        <v>0</v>
      </c>
      <c r="AS198" s="318">
        <v>0</v>
      </c>
      <c r="AT198" s="318">
        <v>1</v>
      </c>
      <c r="AU198" s="42">
        <f t="shared" si="82"/>
        <v>0</v>
      </c>
      <c r="AV198" s="318">
        <v>0</v>
      </c>
      <c r="AW198" s="318">
        <v>110</v>
      </c>
      <c r="AX198" s="315"/>
      <c r="AY198" s="636"/>
      <c r="AZ198" s="319"/>
      <c r="BA198" s="319"/>
      <c r="BB198" s="318">
        <v>1</v>
      </c>
      <c r="BC198" s="9"/>
      <c r="BD198" s="9"/>
      <c r="BE198" s="50">
        <f t="shared" si="83"/>
        <v>0</v>
      </c>
      <c r="BF198" s="50">
        <f t="shared" si="84"/>
        <v>0</v>
      </c>
      <c r="BG198" s="50">
        <f t="shared" si="85"/>
        <v>15.416666666802501</v>
      </c>
      <c r="BH198" s="50">
        <f t="shared" si="86"/>
        <v>1</v>
      </c>
      <c r="BI198" s="50">
        <f t="shared" si="87"/>
        <v>0</v>
      </c>
      <c r="BJ198" s="50">
        <f t="shared" si="88"/>
        <v>0</v>
      </c>
      <c r="BK198" s="50">
        <f t="shared" si="89"/>
        <v>0</v>
      </c>
      <c r="BL198" s="50">
        <f t="shared" si="90"/>
        <v>0</v>
      </c>
      <c r="BM198" s="50">
        <f t="shared" si="91"/>
        <v>15.416666666802501</v>
      </c>
      <c r="BN198" s="50">
        <f t="shared" si="92"/>
        <v>1</v>
      </c>
      <c r="BO198" s="50">
        <f t="shared" si="93"/>
        <v>0</v>
      </c>
      <c r="BP198" s="50">
        <f t="shared" si="94"/>
        <v>0</v>
      </c>
      <c r="BQ198" s="4" t="str">
        <f t="shared" si="95"/>
        <v>09,34 2025.09.19</v>
      </c>
      <c r="BR198" s="4" t="str">
        <f t="shared" si="96"/>
        <v>00,59 2025.09.20</v>
      </c>
      <c r="BS198" s="4" t="str">
        <f t="shared" si="97"/>
        <v>П</v>
      </c>
      <c r="BT198" s="10">
        <f t="shared" si="98"/>
        <v>15.416666666802501</v>
      </c>
      <c r="BU198" s="42">
        <f t="shared" si="99"/>
        <v>1</v>
      </c>
      <c r="BV198" s="11">
        <f t="shared" si="100"/>
        <v>0</v>
      </c>
      <c r="BW198" s="11">
        <f t="shared" si="101"/>
        <v>0</v>
      </c>
      <c r="BX198" s="11">
        <f t="shared" si="102"/>
        <v>1</v>
      </c>
      <c r="BY198" s="11">
        <f t="shared" si="103"/>
        <v>0</v>
      </c>
      <c r="BZ198" s="11">
        <f t="shared" si="104"/>
        <v>0</v>
      </c>
      <c r="CA198" s="11">
        <f t="shared" si="105"/>
        <v>1</v>
      </c>
      <c r="CB198" s="42">
        <f t="shared" si="106"/>
        <v>0</v>
      </c>
      <c r="CC198" s="11">
        <f t="shared" si="107"/>
        <v>0</v>
      </c>
      <c r="CD198" s="11">
        <f t="shared" si="108"/>
        <v>1</v>
      </c>
      <c r="CE198" s="4"/>
      <c r="CF198" s="50">
        <f t="shared" si="109"/>
        <v>0</v>
      </c>
      <c r="CG198" s="50">
        <f t="shared" si="110"/>
        <v>0</v>
      </c>
      <c r="CH198" s="50">
        <f t="shared" si="111"/>
        <v>15.416666666802501</v>
      </c>
      <c r="CI198" s="50">
        <f t="shared" si="112"/>
        <v>1</v>
      </c>
      <c r="CJ198" s="50">
        <f t="shared" si="113"/>
        <v>0</v>
      </c>
      <c r="CK198" s="50">
        <f t="shared" si="114"/>
        <v>0</v>
      </c>
      <c r="CL198" s="50">
        <f t="shared" si="115"/>
        <v>0</v>
      </c>
      <c r="CM198" s="50">
        <f t="shared" si="116"/>
        <v>0</v>
      </c>
      <c r="CN198" s="50">
        <f t="shared" si="117"/>
        <v>15.416666666802501</v>
      </c>
      <c r="CO198" s="50">
        <f t="shared" si="118"/>
        <v>1</v>
      </c>
      <c r="CP198" s="50">
        <f t="shared" si="119"/>
        <v>0</v>
      </c>
      <c r="CQ198" s="50">
        <f t="shared" si="120"/>
        <v>0</v>
      </c>
      <c r="CR198"/>
    </row>
    <row r="199" spans="2:96" s="488" customFormat="1" ht="15.75" customHeight="1" x14ac:dyDescent="0.15">
      <c r="B199" s="59"/>
      <c r="D199" s="130">
        <v>21</v>
      </c>
      <c r="AA199" s="28" t="s">
        <v>701</v>
      </c>
      <c r="AB199" s="31" t="s">
        <v>1072</v>
      </c>
      <c r="AC199" s="247" t="s">
        <v>1445</v>
      </c>
      <c r="AD199" s="314" t="s">
        <v>110</v>
      </c>
      <c r="AE199" s="315" t="s">
        <v>1542</v>
      </c>
      <c r="AF199" s="316" t="s">
        <v>1432</v>
      </c>
      <c r="AG199" s="248" t="s">
        <v>1937</v>
      </c>
      <c r="AH199" s="248" t="s">
        <v>1938</v>
      </c>
      <c r="AI199" s="248" t="s">
        <v>100</v>
      </c>
      <c r="AJ199" s="317">
        <v>4.21666666661622</v>
      </c>
      <c r="AK199" s="315" t="s">
        <v>1545</v>
      </c>
      <c r="AL199" s="315">
        <v>0</v>
      </c>
      <c r="AM199" s="315">
        <v>0</v>
      </c>
      <c r="AN199" s="42">
        <f t="shared" si="81"/>
        <v>2</v>
      </c>
      <c r="AO199" s="318">
        <v>0</v>
      </c>
      <c r="AP199" s="318">
        <v>0</v>
      </c>
      <c r="AQ199" s="318">
        <v>2</v>
      </c>
      <c r="AR199" s="318">
        <v>0</v>
      </c>
      <c r="AS199" s="318">
        <v>0</v>
      </c>
      <c r="AT199" s="318">
        <v>2</v>
      </c>
      <c r="AU199" s="42">
        <f t="shared" si="82"/>
        <v>0</v>
      </c>
      <c r="AV199" s="318">
        <v>0</v>
      </c>
      <c r="AW199" s="318">
        <v>950</v>
      </c>
      <c r="AX199" s="315"/>
      <c r="AY199" s="636"/>
      <c r="AZ199" s="319"/>
      <c r="BA199" s="319"/>
      <c r="BB199" s="318">
        <v>1</v>
      </c>
      <c r="BC199" s="9"/>
      <c r="BD199" s="9"/>
      <c r="BE199" s="50">
        <f t="shared" si="83"/>
        <v>0</v>
      </c>
      <c r="BF199" s="50">
        <f t="shared" si="84"/>
        <v>0</v>
      </c>
      <c r="BG199" s="50">
        <f t="shared" si="85"/>
        <v>8.4333333332324401</v>
      </c>
      <c r="BH199" s="50">
        <f t="shared" si="86"/>
        <v>2</v>
      </c>
      <c r="BI199" s="50">
        <f t="shared" si="87"/>
        <v>0</v>
      </c>
      <c r="BJ199" s="50">
        <f t="shared" si="88"/>
        <v>0</v>
      </c>
      <c r="BK199" s="50">
        <f t="shared" si="89"/>
        <v>0</v>
      </c>
      <c r="BL199" s="50">
        <f t="shared" si="90"/>
        <v>0</v>
      </c>
      <c r="BM199" s="50">
        <f t="shared" si="91"/>
        <v>8.4333333332324401</v>
      </c>
      <c r="BN199" s="50">
        <f t="shared" si="92"/>
        <v>2</v>
      </c>
      <c r="BO199" s="50">
        <f t="shared" si="93"/>
        <v>0</v>
      </c>
      <c r="BP199" s="50">
        <f t="shared" si="94"/>
        <v>0</v>
      </c>
      <c r="BQ199" s="4" t="str">
        <f t="shared" si="95"/>
        <v>14,25 2025.09.20</v>
      </c>
      <c r="BR199" s="4" t="str">
        <f t="shared" si="96"/>
        <v>18,38 2025.09.20</v>
      </c>
      <c r="BS199" s="4" t="str">
        <f t="shared" si="97"/>
        <v>П</v>
      </c>
      <c r="BT199" s="10">
        <f t="shared" si="98"/>
        <v>4.21666666661622</v>
      </c>
      <c r="BU199" s="42">
        <f t="shared" si="99"/>
        <v>2</v>
      </c>
      <c r="BV199" s="11">
        <f t="shared" si="100"/>
        <v>0</v>
      </c>
      <c r="BW199" s="11">
        <f t="shared" si="101"/>
        <v>0</v>
      </c>
      <c r="BX199" s="11">
        <f t="shared" si="102"/>
        <v>2</v>
      </c>
      <c r="BY199" s="11">
        <f t="shared" si="103"/>
        <v>0</v>
      </c>
      <c r="BZ199" s="11">
        <f t="shared" si="104"/>
        <v>0</v>
      </c>
      <c r="CA199" s="11">
        <f t="shared" si="105"/>
        <v>2</v>
      </c>
      <c r="CB199" s="42">
        <f t="shared" si="106"/>
        <v>0</v>
      </c>
      <c r="CC199" s="11">
        <f t="shared" si="107"/>
        <v>0</v>
      </c>
      <c r="CD199" s="11">
        <f t="shared" si="108"/>
        <v>1</v>
      </c>
      <c r="CE199" s="4"/>
      <c r="CF199" s="50">
        <f t="shared" si="109"/>
        <v>0</v>
      </c>
      <c r="CG199" s="50">
        <f t="shared" si="110"/>
        <v>0</v>
      </c>
      <c r="CH199" s="50">
        <f t="shared" si="111"/>
        <v>8.4333333332324401</v>
      </c>
      <c r="CI199" s="50">
        <f t="shared" si="112"/>
        <v>2</v>
      </c>
      <c r="CJ199" s="50">
        <f t="shared" si="113"/>
        <v>0</v>
      </c>
      <c r="CK199" s="50">
        <f t="shared" si="114"/>
        <v>0</v>
      </c>
      <c r="CL199" s="50">
        <f t="shared" si="115"/>
        <v>0</v>
      </c>
      <c r="CM199" s="50">
        <f t="shared" si="116"/>
        <v>0</v>
      </c>
      <c r="CN199" s="50">
        <f t="shared" si="117"/>
        <v>8.4333333332324401</v>
      </c>
      <c r="CO199" s="50">
        <f t="shared" si="118"/>
        <v>2</v>
      </c>
      <c r="CP199" s="50">
        <f t="shared" si="119"/>
        <v>0</v>
      </c>
      <c r="CQ199" s="50">
        <f t="shared" si="120"/>
        <v>0</v>
      </c>
      <c r="CR199"/>
    </row>
    <row r="200" spans="2:96" s="489" customFormat="1" ht="15.75" customHeight="1" x14ac:dyDescent="0.15">
      <c r="B200" s="59"/>
      <c r="D200" s="130">
        <v>21</v>
      </c>
      <c r="AA200" s="28" t="s">
        <v>701</v>
      </c>
      <c r="AB200" s="31" t="s">
        <v>1073</v>
      </c>
      <c r="AC200" s="247" t="s">
        <v>1445</v>
      </c>
      <c r="AD200" s="314" t="s">
        <v>110</v>
      </c>
      <c r="AE200" s="315" t="s">
        <v>1913</v>
      </c>
      <c r="AF200" s="316" t="s">
        <v>1432</v>
      </c>
      <c r="AG200" s="248" t="s">
        <v>1939</v>
      </c>
      <c r="AH200" s="248" t="s">
        <v>1940</v>
      </c>
      <c r="AI200" s="248" t="s">
        <v>100</v>
      </c>
      <c r="AJ200" s="317">
        <v>4.6666666666860701</v>
      </c>
      <c r="AK200" s="315" t="s">
        <v>1916</v>
      </c>
      <c r="AL200" s="315">
        <v>0</v>
      </c>
      <c r="AM200" s="315">
        <v>0</v>
      </c>
      <c r="AN200" s="42">
        <f t="shared" si="81"/>
        <v>1</v>
      </c>
      <c r="AO200" s="318">
        <v>0</v>
      </c>
      <c r="AP200" s="318">
        <v>0</v>
      </c>
      <c r="AQ200" s="318">
        <v>1</v>
      </c>
      <c r="AR200" s="318">
        <v>0</v>
      </c>
      <c r="AS200" s="318">
        <v>0</v>
      </c>
      <c r="AT200" s="318">
        <v>1</v>
      </c>
      <c r="AU200" s="42">
        <f t="shared" si="82"/>
        <v>0</v>
      </c>
      <c r="AV200" s="318">
        <v>0</v>
      </c>
      <c r="AW200" s="318">
        <v>830</v>
      </c>
      <c r="AX200" s="315"/>
      <c r="AY200" s="636"/>
      <c r="AZ200" s="319"/>
      <c r="BA200" s="319"/>
      <c r="BB200" s="318">
        <v>1</v>
      </c>
      <c r="BC200" s="9"/>
      <c r="BD200" s="9"/>
      <c r="BE200" s="50">
        <f t="shared" si="83"/>
        <v>0</v>
      </c>
      <c r="BF200" s="50">
        <f t="shared" si="84"/>
        <v>0</v>
      </c>
      <c r="BG200" s="50">
        <f t="shared" si="85"/>
        <v>4.6666666666860701</v>
      </c>
      <c r="BH200" s="50">
        <f t="shared" si="86"/>
        <v>1</v>
      </c>
      <c r="BI200" s="50">
        <f t="shared" si="87"/>
        <v>0</v>
      </c>
      <c r="BJ200" s="50">
        <f t="shared" si="88"/>
        <v>0</v>
      </c>
      <c r="BK200" s="50">
        <f t="shared" si="89"/>
        <v>0</v>
      </c>
      <c r="BL200" s="50">
        <f t="shared" si="90"/>
        <v>0</v>
      </c>
      <c r="BM200" s="50">
        <f t="shared" si="91"/>
        <v>4.6666666666860701</v>
      </c>
      <c r="BN200" s="50">
        <f t="shared" si="92"/>
        <v>1</v>
      </c>
      <c r="BO200" s="50">
        <f t="shared" si="93"/>
        <v>0</v>
      </c>
      <c r="BP200" s="50">
        <f t="shared" si="94"/>
        <v>0</v>
      </c>
      <c r="BQ200" s="4" t="str">
        <f t="shared" si="95"/>
        <v>15,20 2025.09.27</v>
      </c>
      <c r="BR200" s="4" t="str">
        <f t="shared" si="96"/>
        <v>20,00 2025.09.27</v>
      </c>
      <c r="BS200" s="4" t="str">
        <f t="shared" si="97"/>
        <v>П</v>
      </c>
      <c r="BT200" s="10">
        <f t="shared" si="98"/>
        <v>4.6666666666860701</v>
      </c>
      <c r="BU200" s="42">
        <f t="shared" si="99"/>
        <v>1</v>
      </c>
      <c r="BV200" s="11">
        <f t="shared" si="100"/>
        <v>0</v>
      </c>
      <c r="BW200" s="11">
        <f t="shared" si="101"/>
        <v>0</v>
      </c>
      <c r="BX200" s="11">
        <f t="shared" si="102"/>
        <v>1</v>
      </c>
      <c r="BY200" s="11">
        <f t="shared" si="103"/>
        <v>0</v>
      </c>
      <c r="BZ200" s="11">
        <f t="shared" si="104"/>
        <v>0</v>
      </c>
      <c r="CA200" s="11">
        <f t="shared" si="105"/>
        <v>1</v>
      </c>
      <c r="CB200" s="42">
        <f t="shared" si="106"/>
        <v>0</v>
      </c>
      <c r="CC200" s="11">
        <f t="shared" si="107"/>
        <v>0</v>
      </c>
      <c r="CD200" s="11">
        <f t="shared" si="108"/>
        <v>1</v>
      </c>
      <c r="CE200" s="4"/>
      <c r="CF200" s="50">
        <f t="shared" si="109"/>
        <v>0</v>
      </c>
      <c r="CG200" s="50">
        <f t="shared" si="110"/>
        <v>0</v>
      </c>
      <c r="CH200" s="50">
        <f t="shared" si="111"/>
        <v>4.6666666666860701</v>
      </c>
      <c r="CI200" s="50">
        <f t="shared" si="112"/>
        <v>1</v>
      </c>
      <c r="CJ200" s="50">
        <f t="shared" si="113"/>
        <v>0</v>
      </c>
      <c r="CK200" s="50">
        <f t="shared" si="114"/>
        <v>0</v>
      </c>
      <c r="CL200" s="50">
        <f t="shared" si="115"/>
        <v>0</v>
      </c>
      <c r="CM200" s="50">
        <f t="shared" si="116"/>
        <v>0</v>
      </c>
      <c r="CN200" s="50">
        <f t="shared" si="117"/>
        <v>4.6666666666860701</v>
      </c>
      <c r="CO200" s="50">
        <f t="shared" si="118"/>
        <v>1</v>
      </c>
      <c r="CP200" s="50">
        <f t="shared" si="119"/>
        <v>0</v>
      </c>
      <c r="CQ200" s="50">
        <f t="shared" si="120"/>
        <v>0</v>
      </c>
      <c r="CR200"/>
    </row>
    <row r="201" spans="2:96" s="490" customFormat="1" ht="15.75" customHeight="1" x14ac:dyDescent="0.15">
      <c r="B201" s="59"/>
      <c r="D201" s="130">
        <v>21</v>
      </c>
      <c r="AA201" s="28" t="s">
        <v>701</v>
      </c>
      <c r="AB201" s="31" t="s">
        <v>1074</v>
      </c>
      <c r="AC201" s="247" t="s">
        <v>1445</v>
      </c>
      <c r="AD201" s="314" t="s">
        <v>110</v>
      </c>
      <c r="AE201" s="315" t="s">
        <v>1830</v>
      </c>
      <c r="AF201" s="316" t="s">
        <v>1432</v>
      </c>
      <c r="AG201" s="248" t="s">
        <v>1941</v>
      </c>
      <c r="AH201" s="248" t="s">
        <v>1942</v>
      </c>
      <c r="AI201" s="248" t="s">
        <v>100</v>
      </c>
      <c r="AJ201" s="317">
        <v>3.7000000000116402</v>
      </c>
      <c r="AK201" s="315" t="s">
        <v>1833</v>
      </c>
      <c r="AL201" s="315">
        <v>0</v>
      </c>
      <c r="AM201" s="315">
        <v>0</v>
      </c>
      <c r="AN201" s="42">
        <f t="shared" si="81"/>
        <v>1</v>
      </c>
      <c r="AO201" s="318">
        <v>0</v>
      </c>
      <c r="AP201" s="318">
        <v>0</v>
      </c>
      <c r="AQ201" s="318">
        <v>1</v>
      </c>
      <c r="AR201" s="318">
        <v>0</v>
      </c>
      <c r="AS201" s="318">
        <v>0</v>
      </c>
      <c r="AT201" s="318">
        <v>1</v>
      </c>
      <c r="AU201" s="42">
        <f t="shared" si="82"/>
        <v>0</v>
      </c>
      <c r="AV201" s="318">
        <v>0</v>
      </c>
      <c r="AW201" s="318">
        <v>180</v>
      </c>
      <c r="AX201" s="315"/>
      <c r="AY201" s="636"/>
      <c r="AZ201" s="319"/>
      <c r="BA201" s="319"/>
      <c r="BB201" s="318">
        <v>1</v>
      </c>
      <c r="BC201" s="9"/>
      <c r="BD201" s="9"/>
      <c r="BE201" s="50">
        <f t="shared" si="83"/>
        <v>0</v>
      </c>
      <c r="BF201" s="50">
        <f t="shared" si="84"/>
        <v>0</v>
      </c>
      <c r="BG201" s="50">
        <f t="shared" si="85"/>
        <v>3.7000000000116402</v>
      </c>
      <c r="BH201" s="50">
        <f t="shared" si="86"/>
        <v>1</v>
      </c>
      <c r="BI201" s="50">
        <f t="shared" si="87"/>
        <v>0</v>
      </c>
      <c r="BJ201" s="50">
        <f t="shared" si="88"/>
        <v>0</v>
      </c>
      <c r="BK201" s="50">
        <f t="shared" si="89"/>
        <v>0</v>
      </c>
      <c r="BL201" s="50">
        <f t="shared" si="90"/>
        <v>0</v>
      </c>
      <c r="BM201" s="50">
        <f t="shared" si="91"/>
        <v>3.7000000000116402</v>
      </c>
      <c r="BN201" s="50">
        <f t="shared" si="92"/>
        <v>1</v>
      </c>
      <c r="BO201" s="50">
        <f t="shared" si="93"/>
        <v>0</v>
      </c>
      <c r="BP201" s="50">
        <f t="shared" si="94"/>
        <v>0</v>
      </c>
      <c r="BQ201" s="4" t="str">
        <f t="shared" si="95"/>
        <v>16,08 2025.10.02</v>
      </c>
      <c r="BR201" s="4" t="str">
        <f t="shared" si="96"/>
        <v>19,50 2025.10.02</v>
      </c>
      <c r="BS201" s="4" t="str">
        <f t="shared" si="97"/>
        <v>П</v>
      </c>
      <c r="BT201" s="10">
        <f t="shared" si="98"/>
        <v>3.7000000000116402</v>
      </c>
      <c r="BU201" s="42">
        <f t="shared" si="99"/>
        <v>1</v>
      </c>
      <c r="BV201" s="11">
        <f t="shared" si="100"/>
        <v>0</v>
      </c>
      <c r="BW201" s="11">
        <f t="shared" si="101"/>
        <v>0</v>
      </c>
      <c r="BX201" s="11">
        <f t="shared" si="102"/>
        <v>1</v>
      </c>
      <c r="BY201" s="11">
        <f t="shared" si="103"/>
        <v>0</v>
      </c>
      <c r="BZ201" s="11">
        <f t="shared" si="104"/>
        <v>0</v>
      </c>
      <c r="CA201" s="11">
        <f t="shared" si="105"/>
        <v>1</v>
      </c>
      <c r="CB201" s="42">
        <f t="shared" si="106"/>
        <v>0</v>
      </c>
      <c r="CC201" s="11">
        <f t="shared" si="107"/>
        <v>0</v>
      </c>
      <c r="CD201" s="11">
        <f t="shared" si="108"/>
        <v>1</v>
      </c>
      <c r="CE201" s="4"/>
      <c r="CF201" s="50">
        <f t="shared" si="109"/>
        <v>0</v>
      </c>
      <c r="CG201" s="50">
        <f t="shared" si="110"/>
        <v>0</v>
      </c>
      <c r="CH201" s="50">
        <f t="shared" si="111"/>
        <v>3.7000000000116402</v>
      </c>
      <c r="CI201" s="50">
        <f t="shared" si="112"/>
        <v>1</v>
      </c>
      <c r="CJ201" s="50">
        <f t="shared" si="113"/>
        <v>0</v>
      </c>
      <c r="CK201" s="50">
        <f t="shared" si="114"/>
        <v>0</v>
      </c>
      <c r="CL201" s="50">
        <f t="shared" si="115"/>
        <v>0</v>
      </c>
      <c r="CM201" s="50">
        <f t="shared" si="116"/>
        <v>0</v>
      </c>
      <c r="CN201" s="50">
        <f t="shared" si="117"/>
        <v>3.7000000000116402</v>
      </c>
      <c r="CO201" s="50">
        <f t="shared" si="118"/>
        <v>1</v>
      </c>
      <c r="CP201" s="50">
        <f t="shared" si="119"/>
        <v>0</v>
      </c>
      <c r="CQ201" s="50">
        <f t="shared" si="120"/>
        <v>0</v>
      </c>
      <c r="CR201"/>
    </row>
    <row r="202" spans="2:96" s="491" customFormat="1" ht="15.75" customHeight="1" x14ac:dyDescent="0.15">
      <c r="B202" s="59"/>
      <c r="D202" s="130">
        <v>21</v>
      </c>
      <c r="AA202" s="28" t="s">
        <v>701</v>
      </c>
      <c r="AB202" s="31" t="s">
        <v>1075</v>
      </c>
      <c r="AC202" s="247" t="s">
        <v>1445</v>
      </c>
      <c r="AD202" s="314" t="s">
        <v>110</v>
      </c>
      <c r="AE202" s="315" t="s">
        <v>1927</v>
      </c>
      <c r="AF202" s="316" t="s">
        <v>1432</v>
      </c>
      <c r="AG202" s="248" t="s">
        <v>1941</v>
      </c>
      <c r="AH202" s="248" t="s">
        <v>1943</v>
      </c>
      <c r="AI202" s="248" t="s">
        <v>100</v>
      </c>
      <c r="AJ202" s="317">
        <v>3.3666666666395</v>
      </c>
      <c r="AK202" s="315" t="s">
        <v>1930</v>
      </c>
      <c r="AL202" s="315">
        <v>0</v>
      </c>
      <c r="AM202" s="315">
        <v>0</v>
      </c>
      <c r="AN202" s="42">
        <f t="shared" si="81"/>
        <v>1</v>
      </c>
      <c r="AO202" s="318">
        <v>0</v>
      </c>
      <c r="AP202" s="318">
        <v>0</v>
      </c>
      <c r="AQ202" s="318">
        <v>1</v>
      </c>
      <c r="AR202" s="318">
        <v>0</v>
      </c>
      <c r="AS202" s="318">
        <v>0</v>
      </c>
      <c r="AT202" s="318">
        <v>1</v>
      </c>
      <c r="AU202" s="42">
        <f t="shared" si="82"/>
        <v>0</v>
      </c>
      <c r="AV202" s="318">
        <v>0</v>
      </c>
      <c r="AW202" s="318">
        <v>260</v>
      </c>
      <c r="AX202" s="315"/>
      <c r="AY202" s="636"/>
      <c r="AZ202" s="319"/>
      <c r="BA202" s="319"/>
      <c r="BB202" s="318">
        <v>1</v>
      </c>
      <c r="BC202" s="9"/>
      <c r="BD202" s="9"/>
      <c r="BE202" s="50">
        <f t="shared" si="83"/>
        <v>0</v>
      </c>
      <c r="BF202" s="50">
        <f t="shared" si="84"/>
        <v>0</v>
      </c>
      <c r="BG202" s="50">
        <f t="shared" si="85"/>
        <v>3.3666666666395</v>
      </c>
      <c r="BH202" s="50">
        <f t="shared" si="86"/>
        <v>1</v>
      </c>
      <c r="BI202" s="50">
        <f t="shared" si="87"/>
        <v>0</v>
      </c>
      <c r="BJ202" s="50">
        <f t="shared" si="88"/>
        <v>0</v>
      </c>
      <c r="BK202" s="50">
        <f t="shared" si="89"/>
        <v>0</v>
      </c>
      <c r="BL202" s="50">
        <f t="shared" si="90"/>
        <v>0</v>
      </c>
      <c r="BM202" s="50">
        <f t="shared" si="91"/>
        <v>3.3666666666395</v>
      </c>
      <c r="BN202" s="50">
        <f t="shared" si="92"/>
        <v>1</v>
      </c>
      <c r="BO202" s="50">
        <f t="shared" si="93"/>
        <v>0</v>
      </c>
      <c r="BP202" s="50">
        <f t="shared" si="94"/>
        <v>0</v>
      </c>
      <c r="BQ202" s="4" t="str">
        <f t="shared" si="95"/>
        <v>16,08 2025.10.02</v>
      </c>
      <c r="BR202" s="4" t="str">
        <f t="shared" si="96"/>
        <v>19,30 2025.10.02</v>
      </c>
      <c r="BS202" s="4" t="str">
        <f t="shared" si="97"/>
        <v>П</v>
      </c>
      <c r="BT202" s="10">
        <f t="shared" si="98"/>
        <v>3.3666666666395</v>
      </c>
      <c r="BU202" s="42">
        <f t="shared" si="99"/>
        <v>1</v>
      </c>
      <c r="BV202" s="11">
        <f t="shared" si="100"/>
        <v>0</v>
      </c>
      <c r="BW202" s="11">
        <f t="shared" si="101"/>
        <v>0</v>
      </c>
      <c r="BX202" s="11">
        <f t="shared" si="102"/>
        <v>1</v>
      </c>
      <c r="BY202" s="11">
        <f t="shared" si="103"/>
        <v>0</v>
      </c>
      <c r="BZ202" s="11">
        <f t="shared" si="104"/>
        <v>0</v>
      </c>
      <c r="CA202" s="11">
        <f t="shared" si="105"/>
        <v>1</v>
      </c>
      <c r="CB202" s="42">
        <f t="shared" si="106"/>
        <v>0</v>
      </c>
      <c r="CC202" s="11">
        <f t="shared" si="107"/>
        <v>0</v>
      </c>
      <c r="CD202" s="11">
        <f t="shared" si="108"/>
        <v>1</v>
      </c>
      <c r="CE202" s="4"/>
      <c r="CF202" s="50">
        <f t="shared" si="109"/>
        <v>0</v>
      </c>
      <c r="CG202" s="50">
        <f t="shared" si="110"/>
        <v>0</v>
      </c>
      <c r="CH202" s="50">
        <f t="shared" si="111"/>
        <v>3.3666666666395</v>
      </c>
      <c r="CI202" s="50">
        <f t="shared" si="112"/>
        <v>1</v>
      </c>
      <c r="CJ202" s="50">
        <f t="shared" si="113"/>
        <v>0</v>
      </c>
      <c r="CK202" s="50">
        <f t="shared" si="114"/>
        <v>0</v>
      </c>
      <c r="CL202" s="50">
        <f t="shared" si="115"/>
        <v>0</v>
      </c>
      <c r="CM202" s="50">
        <f t="shared" si="116"/>
        <v>0</v>
      </c>
      <c r="CN202" s="50">
        <f t="shared" si="117"/>
        <v>3.3666666666395</v>
      </c>
      <c r="CO202" s="50">
        <f t="shared" si="118"/>
        <v>1</v>
      </c>
      <c r="CP202" s="50">
        <f t="shared" si="119"/>
        <v>0</v>
      </c>
      <c r="CQ202" s="50">
        <f t="shared" si="120"/>
        <v>0</v>
      </c>
      <c r="CR202"/>
    </row>
    <row r="203" spans="2:96" s="492" customFormat="1" ht="15.75" customHeight="1" x14ac:dyDescent="0.15">
      <c r="B203" s="59"/>
      <c r="D203" s="130">
        <v>21</v>
      </c>
      <c r="AA203" s="28" t="s">
        <v>701</v>
      </c>
      <c r="AB203" s="31" t="s">
        <v>1076</v>
      </c>
      <c r="AC203" s="247" t="s">
        <v>1440</v>
      </c>
      <c r="AD203" s="314" t="s">
        <v>110</v>
      </c>
      <c r="AE203" s="315" t="s">
        <v>1944</v>
      </c>
      <c r="AF203" s="316" t="s">
        <v>1432</v>
      </c>
      <c r="AG203" s="248" t="s">
        <v>1945</v>
      </c>
      <c r="AH203" s="248" t="s">
        <v>1946</v>
      </c>
      <c r="AI203" s="248" t="s">
        <v>122</v>
      </c>
      <c r="AJ203" s="317">
        <v>2.1333333333022901</v>
      </c>
      <c r="AK203" s="315" t="s">
        <v>1947</v>
      </c>
      <c r="AL203" s="315">
        <v>0</v>
      </c>
      <c r="AM203" s="315">
        <v>0</v>
      </c>
      <c r="AN203" s="42">
        <f t="shared" si="81"/>
        <v>1</v>
      </c>
      <c r="AO203" s="318">
        <v>0</v>
      </c>
      <c r="AP203" s="318">
        <v>0</v>
      </c>
      <c r="AQ203" s="318">
        <v>1</v>
      </c>
      <c r="AR203" s="318">
        <v>0</v>
      </c>
      <c r="AS203" s="318">
        <v>0</v>
      </c>
      <c r="AT203" s="318">
        <v>1</v>
      </c>
      <c r="AU203" s="42">
        <f t="shared" si="82"/>
        <v>0</v>
      </c>
      <c r="AV203" s="318">
        <v>0</v>
      </c>
      <c r="AW203" s="318">
        <v>321</v>
      </c>
      <c r="AX203" s="315"/>
      <c r="AY203" s="636" t="s">
        <v>2105</v>
      </c>
      <c r="AZ203" s="319" t="s">
        <v>163</v>
      </c>
      <c r="BA203" s="319" t="s">
        <v>2041</v>
      </c>
      <c r="BB203" s="318">
        <v>1</v>
      </c>
      <c r="BC203" s="9"/>
      <c r="BD203" s="9"/>
      <c r="BE203" s="50">
        <f t="shared" si="83"/>
        <v>0</v>
      </c>
      <c r="BF203" s="50">
        <f t="shared" si="84"/>
        <v>0</v>
      </c>
      <c r="BG203" s="50">
        <f t="shared" si="85"/>
        <v>0</v>
      </c>
      <c r="BH203" s="50">
        <f t="shared" si="86"/>
        <v>0</v>
      </c>
      <c r="BI203" s="50">
        <f t="shared" si="87"/>
        <v>0</v>
      </c>
      <c r="BJ203" s="50">
        <f t="shared" si="88"/>
        <v>0</v>
      </c>
      <c r="BK203" s="50">
        <f t="shared" si="89"/>
        <v>0</v>
      </c>
      <c r="BL203" s="50">
        <f t="shared" si="90"/>
        <v>0</v>
      </c>
      <c r="BM203" s="50">
        <f t="shared" si="91"/>
        <v>0</v>
      </c>
      <c r="BN203" s="50">
        <f t="shared" si="92"/>
        <v>0</v>
      </c>
      <c r="BO203" s="50">
        <f t="shared" si="93"/>
        <v>0</v>
      </c>
      <c r="BP203" s="50">
        <f t="shared" si="94"/>
        <v>0</v>
      </c>
      <c r="BQ203" s="4" t="str">
        <f t="shared" si="95"/>
        <v>01,34 2025.10.03</v>
      </c>
      <c r="BR203" s="4" t="str">
        <f t="shared" si="96"/>
        <v>03,42 2025.10.03</v>
      </c>
      <c r="BS203" s="4" t="str">
        <f t="shared" si="97"/>
        <v>В</v>
      </c>
      <c r="BT203" s="10">
        <f t="shared" si="98"/>
        <v>2.1333333333022901</v>
      </c>
      <c r="BU203" s="42">
        <f t="shared" si="99"/>
        <v>1</v>
      </c>
      <c r="BV203" s="11">
        <f t="shared" si="100"/>
        <v>0</v>
      </c>
      <c r="BW203" s="11">
        <f t="shared" si="101"/>
        <v>0</v>
      </c>
      <c r="BX203" s="11">
        <f t="shared" si="102"/>
        <v>1</v>
      </c>
      <c r="BY203" s="11">
        <f t="shared" si="103"/>
        <v>0</v>
      </c>
      <c r="BZ203" s="11">
        <f t="shared" si="104"/>
        <v>0</v>
      </c>
      <c r="CA203" s="11">
        <f t="shared" si="105"/>
        <v>1</v>
      </c>
      <c r="CB203" s="42">
        <f t="shared" si="106"/>
        <v>0</v>
      </c>
      <c r="CC203" s="11">
        <f t="shared" si="107"/>
        <v>0</v>
      </c>
      <c r="CD203" s="11">
        <f t="shared" si="108"/>
        <v>1</v>
      </c>
      <c r="CE203" s="4"/>
      <c r="CF203" s="50">
        <f t="shared" si="109"/>
        <v>0</v>
      </c>
      <c r="CG203" s="50">
        <f t="shared" si="110"/>
        <v>0</v>
      </c>
      <c r="CH203" s="50">
        <f t="shared" si="111"/>
        <v>0</v>
      </c>
      <c r="CI203" s="50">
        <f t="shared" si="112"/>
        <v>0</v>
      </c>
      <c r="CJ203" s="50">
        <f t="shared" si="113"/>
        <v>0</v>
      </c>
      <c r="CK203" s="50">
        <f t="shared" si="114"/>
        <v>0</v>
      </c>
      <c r="CL203" s="50">
        <f t="shared" si="115"/>
        <v>0</v>
      </c>
      <c r="CM203" s="50">
        <f t="shared" si="116"/>
        <v>0</v>
      </c>
      <c r="CN203" s="50">
        <f t="shared" si="117"/>
        <v>0</v>
      </c>
      <c r="CO203" s="50">
        <f t="shared" si="118"/>
        <v>0</v>
      </c>
      <c r="CP203" s="50">
        <f t="shared" si="119"/>
        <v>0</v>
      </c>
      <c r="CQ203" s="50">
        <f t="shared" si="120"/>
        <v>0</v>
      </c>
      <c r="CR203"/>
    </row>
    <row r="204" spans="2:96" s="493" customFormat="1" ht="15.75" customHeight="1" x14ac:dyDescent="0.15">
      <c r="B204" s="59"/>
      <c r="D204" s="130">
        <v>21</v>
      </c>
      <c r="AA204" s="28" t="s">
        <v>701</v>
      </c>
      <c r="AB204" s="31" t="s">
        <v>1077</v>
      </c>
      <c r="AC204" s="247" t="s">
        <v>1627</v>
      </c>
      <c r="AD204" s="314" t="s">
        <v>110</v>
      </c>
      <c r="AE204" s="315" t="s">
        <v>1948</v>
      </c>
      <c r="AF204" s="316" t="s">
        <v>1432</v>
      </c>
      <c r="AG204" s="248" t="s">
        <v>1949</v>
      </c>
      <c r="AH204" s="248" t="s">
        <v>1949</v>
      </c>
      <c r="AI204" s="248" t="s">
        <v>122</v>
      </c>
      <c r="AJ204" s="317">
        <v>0</v>
      </c>
      <c r="AK204" s="315" t="s">
        <v>1950</v>
      </c>
      <c r="AL204" s="315">
        <v>0</v>
      </c>
      <c r="AM204" s="315">
        <v>0</v>
      </c>
      <c r="AN204" s="42">
        <f t="shared" si="81"/>
        <v>1</v>
      </c>
      <c r="AO204" s="318">
        <v>0</v>
      </c>
      <c r="AP204" s="318">
        <v>0</v>
      </c>
      <c r="AQ204" s="318">
        <v>1</v>
      </c>
      <c r="AR204" s="318">
        <v>0</v>
      </c>
      <c r="AS204" s="318">
        <v>0</v>
      </c>
      <c r="AT204" s="318">
        <v>1</v>
      </c>
      <c r="AU204" s="42">
        <f t="shared" si="82"/>
        <v>0</v>
      </c>
      <c r="AV204" s="318">
        <v>0</v>
      </c>
      <c r="AW204" s="318">
        <v>270</v>
      </c>
      <c r="AX204" s="315"/>
      <c r="AY204" s="636" t="s">
        <v>2106</v>
      </c>
      <c r="AZ204" s="319" t="s">
        <v>179</v>
      </c>
      <c r="BA204" s="319" t="s">
        <v>1170</v>
      </c>
      <c r="BB204" s="318">
        <v>0</v>
      </c>
      <c r="BC204" s="9"/>
      <c r="BD204" s="9"/>
      <c r="BE204" s="50">
        <f t="shared" si="83"/>
        <v>0</v>
      </c>
      <c r="BF204" s="50">
        <f t="shared" si="84"/>
        <v>0</v>
      </c>
      <c r="BG204" s="50">
        <f t="shared" si="85"/>
        <v>0</v>
      </c>
      <c r="BH204" s="50">
        <f t="shared" si="86"/>
        <v>0</v>
      </c>
      <c r="BI204" s="50">
        <f t="shared" si="87"/>
        <v>0</v>
      </c>
      <c r="BJ204" s="50">
        <f t="shared" si="88"/>
        <v>0</v>
      </c>
      <c r="BK204" s="50">
        <f t="shared" si="89"/>
        <v>0</v>
      </c>
      <c r="BL204" s="50">
        <f t="shared" si="90"/>
        <v>0</v>
      </c>
      <c r="BM204" s="50">
        <f t="shared" si="91"/>
        <v>0</v>
      </c>
      <c r="BN204" s="50">
        <f t="shared" si="92"/>
        <v>0</v>
      </c>
      <c r="BO204" s="50">
        <f t="shared" si="93"/>
        <v>0</v>
      </c>
      <c r="BP204" s="50">
        <f t="shared" si="94"/>
        <v>0</v>
      </c>
      <c r="BQ204" s="4" t="str">
        <f t="shared" si="95"/>
        <v>11,11 2025.10.03</v>
      </c>
      <c r="BR204" s="4" t="str">
        <f t="shared" si="96"/>
        <v>11,11 2025.10.03</v>
      </c>
      <c r="BS204" s="4" t="str">
        <f t="shared" si="97"/>
        <v>В</v>
      </c>
      <c r="BT204" s="10">
        <f t="shared" si="98"/>
        <v>0</v>
      </c>
      <c r="BU204" s="42">
        <f t="shared" si="99"/>
        <v>1</v>
      </c>
      <c r="BV204" s="11">
        <f t="shared" si="100"/>
        <v>0</v>
      </c>
      <c r="BW204" s="11">
        <f t="shared" si="101"/>
        <v>0</v>
      </c>
      <c r="BX204" s="11">
        <f t="shared" si="102"/>
        <v>1</v>
      </c>
      <c r="BY204" s="11">
        <f t="shared" si="103"/>
        <v>0</v>
      </c>
      <c r="BZ204" s="11">
        <f t="shared" si="104"/>
        <v>0</v>
      </c>
      <c r="CA204" s="11">
        <f t="shared" si="105"/>
        <v>1</v>
      </c>
      <c r="CB204" s="42">
        <f t="shared" si="106"/>
        <v>0</v>
      </c>
      <c r="CC204" s="11">
        <f t="shared" si="107"/>
        <v>0</v>
      </c>
      <c r="CD204" s="11">
        <f t="shared" si="108"/>
        <v>0</v>
      </c>
      <c r="CE204" s="4"/>
      <c r="CF204" s="50">
        <f t="shared" si="109"/>
        <v>0</v>
      </c>
      <c r="CG204" s="50">
        <f t="shared" si="110"/>
        <v>0</v>
      </c>
      <c r="CH204" s="50">
        <f t="shared" si="111"/>
        <v>0</v>
      </c>
      <c r="CI204" s="50">
        <f t="shared" si="112"/>
        <v>0</v>
      </c>
      <c r="CJ204" s="50">
        <f t="shared" si="113"/>
        <v>0</v>
      </c>
      <c r="CK204" s="50">
        <f t="shared" si="114"/>
        <v>0</v>
      </c>
      <c r="CL204" s="50">
        <f t="shared" si="115"/>
        <v>0</v>
      </c>
      <c r="CM204" s="50">
        <f t="shared" si="116"/>
        <v>0</v>
      </c>
      <c r="CN204" s="50">
        <f t="shared" si="117"/>
        <v>0</v>
      </c>
      <c r="CO204" s="50">
        <f t="shared" si="118"/>
        <v>0</v>
      </c>
      <c r="CP204" s="50">
        <f t="shared" si="119"/>
        <v>0</v>
      </c>
      <c r="CQ204" s="50">
        <f t="shared" si="120"/>
        <v>0</v>
      </c>
      <c r="CR204"/>
    </row>
    <row r="205" spans="2:96" s="494" customFormat="1" ht="15.75" customHeight="1" x14ac:dyDescent="0.15">
      <c r="B205" s="59"/>
      <c r="D205" s="130">
        <v>21</v>
      </c>
      <c r="AA205" s="28" t="s">
        <v>701</v>
      </c>
      <c r="AB205" s="31" t="s">
        <v>1078</v>
      </c>
      <c r="AC205" s="247" t="s">
        <v>1440</v>
      </c>
      <c r="AD205" s="314" t="s">
        <v>110</v>
      </c>
      <c r="AE205" s="315" t="s">
        <v>1951</v>
      </c>
      <c r="AF205" s="316" t="s">
        <v>1432</v>
      </c>
      <c r="AG205" s="248" t="s">
        <v>1952</v>
      </c>
      <c r="AH205" s="248" t="s">
        <v>1953</v>
      </c>
      <c r="AI205" s="248" t="s">
        <v>100</v>
      </c>
      <c r="AJ205" s="317">
        <v>1.3500000000349199</v>
      </c>
      <c r="AK205" s="315" t="s">
        <v>1954</v>
      </c>
      <c r="AL205" s="315">
        <v>0</v>
      </c>
      <c r="AM205" s="315">
        <v>0</v>
      </c>
      <c r="AN205" s="42">
        <f t="shared" si="81"/>
        <v>1</v>
      </c>
      <c r="AO205" s="318">
        <v>0</v>
      </c>
      <c r="AP205" s="318">
        <v>0</v>
      </c>
      <c r="AQ205" s="318">
        <v>1</v>
      </c>
      <c r="AR205" s="318">
        <v>0</v>
      </c>
      <c r="AS205" s="318">
        <v>0</v>
      </c>
      <c r="AT205" s="318">
        <v>1</v>
      </c>
      <c r="AU205" s="42">
        <f t="shared" si="82"/>
        <v>0</v>
      </c>
      <c r="AV205" s="318">
        <v>0</v>
      </c>
      <c r="AW205" s="318">
        <v>60</v>
      </c>
      <c r="AX205" s="315"/>
      <c r="AY205" s="636"/>
      <c r="AZ205" s="319"/>
      <c r="BA205" s="319"/>
      <c r="BB205" s="318">
        <v>1</v>
      </c>
      <c r="BC205" s="9"/>
      <c r="BD205" s="9"/>
      <c r="BE205" s="50">
        <f t="shared" si="83"/>
        <v>0</v>
      </c>
      <c r="BF205" s="50">
        <f t="shared" si="84"/>
        <v>0</v>
      </c>
      <c r="BG205" s="50">
        <f t="shared" si="85"/>
        <v>1.3500000000349199</v>
      </c>
      <c r="BH205" s="50">
        <f t="shared" si="86"/>
        <v>1</v>
      </c>
      <c r="BI205" s="50">
        <f t="shared" si="87"/>
        <v>0</v>
      </c>
      <c r="BJ205" s="50">
        <f t="shared" si="88"/>
        <v>0</v>
      </c>
      <c r="BK205" s="50">
        <f t="shared" si="89"/>
        <v>0</v>
      </c>
      <c r="BL205" s="50">
        <f t="shared" si="90"/>
        <v>0</v>
      </c>
      <c r="BM205" s="50">
        <f t="shared" si="91"/>
        <v>1.3500000000349199</v>
      </c>
      <c r="BN205" s="50">
        <f t="shared" si="92"/>
        <v>1</v>
      </c>
      <c r="BO205" s="50">
        <f t="shared" si="93"/>
        <v>0</v>
      </c>
      <c r="BP205" s="50">
        <f t="shared" si="94"/>
        <v>0</v>
      </c>
      <c r="BQ205" s="4" t="str">
        <f t="shared" si="95"/>
        <v>14,31 2025.10.03</v>
      </c>
      <c r="BR205" s="4" t="str">
        <f t="shared" si="96"/>
        <v>15,52 2025.10.03</v>
      </c>
      <c r="BS205" s="4" t="str">
        <f t="shared" si="97"/>
        <v>П</v>
      </c>
      <c r="BT205" s="10">
        <f t="shared" si="98"/>
        <v>1.3500000000349199</v>
      </c>
      <c r="BU205" s="42">
        <f t="shared" si="99"/>
        <v>1</v>
      </c>
      <c r="BV205" s="11">
        <f t="shared" si="100"/>
        <v>0</v>
      </c>
      <c r="BW205" s="11">
        <f t="shared" si="101"/>
        <v>0</v>
      </c>
      <c r="BX205" s="11">
        <f t="shared" si="102"/>
        <v>1</v>
      </c>
      <c r="BY205" s="11">
        <f t="shared" si="103"/>
        <v>0</v>
      </c>
      <c r="BZ205" s="11">
        <f t="shared" si="104"/>
        <v>0</v>
      </c>
      <c r="CA205" s="11">
        <f t="shared" si="105"/>
        <v>1</v>
      </c>
      <c r="CB205" s="42">
        <f t="shared" si="106"/>
        <v>0</v>
      </c>
      <c r="CC205" s="11">
        <f t="shared" si="107"/>
        <v>0</v>
      </c>
      <c r="CD205" s="11">
        <f t="shared" si="108"/>
        <v>1</v>
      </c>
      <c r="CE205" s="4"/>
      <c r="CF205" s="50">
        <f t="shared" si="109"/>
        <v>0</v>
      </c>
      <c r="CG205" s="50">
        <f t="shared" si="110"/>
        <v>0</v>
      </c>
      <c r="CH205" s="50">
        <f t="shared" si="111"/>
        <v>1.3500000000349199</v>
      </c>
      <c r="CI205" s="50">
        <f t="shared" si="112"/>
        <v>1</v>
      </c>
      <c r="CJ205" s="50">
        <f t="shared" si="113"/>
        <v>0</v>
      </c>
      <c r="CK205" s="50">
        <f t="shared" si="114"/>
        <v>0</v>
      </c>
      <c r="CL205" s="50">
        <f t="shared" si="115"/>
        <v>0</v>
      </c>
      <c r="CM205" s="50">
        <f t="shared" si="116"/>
        <v>0</v>
      </c>
      <c r="CN205" s="50">
        <f t="shared" si="117"/>
        <v>1.3500000000349199</v>
      </c>
      <c r="CO205" s="50">
        <f t="shared" si="118"/>
        <v>1</v>
      </c>
      <c r="CP205" s="50">
        <f t="shared" si="119"/>
        <v>0</v>
      </c>
      <c r="CQ205" s="50">
        <f t="shared" si="120"/>
        <v>0</v>
      </c>
      <c r="CR205"/>
    </row>
    <row r="206" spans="2:96" s="495" customFormat="1" ht="15.75" customHeight="1" x14ac:dyDescent="0.15">
      <c r="B206" s="59"/>
      <c r="D206" s="130">
        <v>21</v>
      </c>
      <c r="AA206" s="28" t="s">
        <v>701</v>
      </c>
      <c r="AB206" s="31" t="s">
        <v>1079</v>
      </c>
      <c r="AC206" s="247" t="s">
        <v>1440</v>
      </c>
      <c r="AD206" s="314" t="s">
        <v>110</v>
      </c>
      <c r="AE206" s="315" t="s">
        <v>1944</v>
      </c>
      <c r="AF206" s="316" t="s">
        <v>1432</v>
      </c>
      <c r="AG206" s="248" t="s">
        <v>1955</v>
      </c>
      <c r="AH206" s="248" t="s">
        <v>1956</v>
      </c>
      <c r="AI206" s="248" t="s">
        <v>100</v>
      </c>
      <c r="AJ206" s="317">
        <v>0.14999999996507499</v>
      </c>
      <c r="AK206" s="315" t="s">
        <v>1947</v>
      </c>
      <c r="AL206" s="315">
        <v>0</v>
      </c>
      <c r="AM206" s="315">
        <v>0</v>
      </c>
      <c r="AN206" s="42">
        <f t="shared" si="81"/>
        <v>1</v>
      </c>
      <c r="AO206" s="318">
        <v>0</v>
      </c>
      <c r="AP206" s="318">
        <v>0</v>
      </c>
      <c r="AQ206" s="318">
        <v>1</v>
      </c>
      <c r="AR206" s="318">
        <v>0</v>
      </c>
      <c r="AS206" s="318">
        <v>0</v>
      </c>
      <c r="AT206" s="318">
        <v>1</v>
      </c>
      <c r="AU206" s="42">
        <f t="shared" si="82"/>
        <v>0</v>
      </c>
      <c r="AV206" s="318">
        <v>0</v>
      </c>
      <c r="AW206" s="318">
        <v>321</v>
      </c>
      <c r="AX206" s="315"/>
      <c r="AY206" s="636"/>
      <c r="AZ206" s="319"/>
      <c r="BA206" s="319"/>
      <c r="BB206" s="318">
        <v>1</v>
      </c>
      <c r="BC206" s="9"/>
      <c r="BD206" s="9"/>
      <c r="BE206" s="50">
        <f t="shared" si="83"/>
        <v>0</v>
      </c>
      <c r="BF206" s="50">
        <f t="shared" si="84"/>
        <v>0</v>
      </c>
      <c r="BG206" s="50">
        <f t="shared" si="85"/>
        <v>0.14999999996507499</v>
      </c>
      <c r="BH206" s="50">
        <f t="shared" si="86"/>
        <v>1</v>
      </c>
      <c r="BI206" s="50">
        <f t="shared" si="87"/>
        <v>0</v>
      </c>
      <c r="BJ206" s="50">
        <f t="shared" si="88"/>
        <v>0</v>
      </c>
      <c r="BK206" s="50">
        <f t="shared" si="89"/>
        <v>0</v>
      </c>
      <c r="BL206" s="50">
        <f t="shared" si="90"/>
        <v>0</v>
      </c>
      <c r="BM206" s="50">
        <f t="shared" si="91"/>
        <v>0.14999999996507499</v>
      </c>
      <c r="BN206" s="50">
        <f t="shared" si="92"/>
        <v>1</v>
      </c>
      <c r="BO206" s="50">
        <f t="shared" si="93"/>
        <v>0</v>
      </c>
      <c r="BP206" s="50">
        <f t="shared" si="94"/>
        <v>0</v>
      </c>
      <c r="BQ206" s="4" t="str">
        <f t="shared" si="95"/>
        <v>18,00 2025.10.03</v>
      </c>
      <c r="BR206" s="4" t="str">
        <f t="shared" si="96"/>
        <v>18,09 2025.10.03</v>
      </c>
      <c r="BS206" s="4" t="str">
        <f t="shared" si="97"/>
        <v>П</v>
      </c>
      <c r="BT206" s="10">
        <f t="shared" si="98"/>
        <v>0.14999999996507499</v>
      </c>
      <c r="BU206" s="42">
        <f t="shared" si="99"/>
        <v>1</v>
      </c>
      <c r="BV206" s="11">
        <f t="shared" si="100"/>
        <v>0</v>
      </c>
      <c r="BW206" s="11">
        <f t="shared" si="101"/>
        <v>0</v>
      </c>
      <c r="BX206" s="11">
        <f t="shared" si="102"/>
        <v>1</v>
      </c>
      <c r="BY206" s="11">
        <f t="shared" si="103"/>
        <v>0</v>
      </c>
      <c r="BZ206" s="11">
        <f t="shared" si="104"/>
        <v>0</v>
      </c>
      <c r="CA206" s="11">
        <f t="shared" si="105"/>
        <v>1</v>
      </c>
      <c r="CB206" s="42">
        <f t="shared" si="106"/>
        <v>0</v>
      </c>
      <c r="CC206" s="11">
        <f t="shared" si="107"/>
        <v>0</v>
      </c>
      <c r="CD206" s="11">
        <f t="shared" si="108"/>
        <v>1</v>
      </c>
      <c r="CE206" s="4"/>
      <c r="CF206" s="50">
        <f t="shared" si="109"/>
        <v>0</v>
      </c>
      <c r="CG206" s="50">
        <f t="shared" si="110"/>
        <v>0</v>
      </c>
      <c r="CH206" s="50">
        <f t="shared" si="111"/>
        <v>0.14999999996507499</v>
      </c>
      <c r="CI206" s="50">
        <f t="shared" si="112"/>
        <v>1</v>
      </c>
      <c r="CJ206" s="50">
        <f t="shared" si="113"/>
        <v>0</v>
      </c>
      <c r="CK206" s="50">
        <f t="shared" si="114"/>
        <v>0</v>
      </c>
      <c r="CL206" s="50">
        <f t="shared" si="115"/>
        <v>0</v>
      </c>
      <c r="CM206" s="50">
        <f t="shared" si="116"/>
        <v>0</v>
      </c>
      <c r="CN206" s="50">
        <f t="shared" si="117"/>
        <v>0.14999999996507499</v>
      </c>
      <c r="CO206" s="50">
        <f t="shared" si="118"/>
        <v>1</v>
      </c>
      <c r="CP206" s="50">
        <f t="shared" si="119"/>
        <v>0</v>
      </c>
      <c r="CQ206" s="50">
        <f t="shared" si="120"/>
        <v>0</v>
      </c>
      <c r="CR206"/>
    </row>
    <row r="207" spans="2:96" s="496" customFormat="1" ht="15.75" customHeight="1" x14ac:dyDescent="0.15">
      <c r="B207" s="59"/>
      <c r="D207" s="130">
        <v>21</v>
      </c>
      <c r="AA207" s="28" t="s">
        <v>701</v>
      </c>
      <c r="AB207" s="31" t="s">
        <v>1080</v>
      </c>
      <c r="AC207" s="247" t="s">
        <v>1430</v>
      </c>
      <c r="AD207" s="314" t="s">
        <v>110</v>
      </c>
      <c r="AE207" s="315" t="s">
        <v>1568</v>
      </c>
      <c r="AF207" s="316" t="s">
        <v>1432</v>
      </c>
      <c r="AG207" s="248" t="s">
        <v>1957</v>
      </c>
      <c r="AH207" s="248" t="s">
        <v>1958</v>
      </c>
      <c r="AI207" s="248" t="s">
        <v>100</v>
      </c>
      <c r="AJ207" s="317">
        <v>2.8166666667675599</v>
      </c>
      <c r="AK207" s="315" t="s">
        <v>1571</v>
      </c>
      <c r="AL207" s="315">
        <v>0</v>
      </c>
      <c r="AM207" s="315">
        <v>0</v>
      </c>
      <c r="AN207" s="42">
        <f t="shared" si="81"/>
        <v>2</v>
      </c>
      <c r="AO207" s="318">
        <v>0</v>
      </c>
      <c r="AP207" s="318">
        <v>0</v>
      </c>
      <c r="AQ207" s="318">
        <v>2</v>
      </c>
      <c r="AR207" s="318">
        <v>0</v>
      </c>
      <c r="AS207" s="318">
        <v>0</v>
      </c>
      <c r="AT207" s="318">
        <v>2</v>
      </c>
      <c r="AU207" s="42">
        <f t="shared" si="82"/>
        <v>0</v>
      </c>
      <c r="AV207" s="318">
        <v>0</v>
      </c>
      <c r="AW207" s="318">
        <v>820</v>
      </c>
      <c r="AX207" s="315"/>
      <c r="AY207" s="636"/>
      <c r="AZ207" s="319"/>
      <c r="BA207" s="319"/>
      <c r="BB207" s="318">
        <v>1</v>
      </c>
      <c r="BC207" s="9"/>
      <c r="BD207" s="9"/>
      <c r="BE207" s="50">
        <f t="shared" si="83"/>
        <v>0</v>
      </c>
      <c r="BF207" s="50">
        <f t="shared" si="84"/>
        <v>0</v>
      </c>
      <c r="BG207" s="50">
        <f t="shared" si="85"/>
        <v>5.6333333335351199</v>
      </c>
      <c r="BH207" s="50">
        <f t="shared" si="86"/>
        <v>2</v>
      </c>
      <c r="BI207" s="50">
        <f t="shared" si="87"/>
        <v>0</v>
      </c>
      <c r="BJ207" s="50">
        <f t="shared" si="88"/>
        <v>0</v>
      </c>
      <c r="BK207" s="50">
        <f t="shared" si="89"/>
        <v>0</v>
      </c>
      <c r="BL207" s="50">
        <f t="shared" si="90"/>
        <v>0</v>
      </c>
      <c r="BM207" s="50">
        <f t="shared" si="91"/>
        <v>5.6333333335351199</v>
      </c>
      <c r="BN207" s="50">
        <f t="shared" si="92"/>
        <v>2</v>
      </c>
      <c r="BO207" s="50">
        <f t="shared" si="93"/>
        <v>0</v>
      </c>
      <c r="BP207" s="50">
        <f t="shared" si="94"/>
        <v>0</v>
      </c>
      <c r="BQ207" s="4" t="str">
        <f t="shared" si="95"/>
        <v>09,12 2025.10.07</v>
      </c>
      <c r="BR207" s="4" t="str">
        <f t="shared" si="96"/>
        <v>12,01 2025.10.07</v>
      </c>
      <c r="BS207" s="4" t="str">
        <f t="shared" si="97"/>
        <v>П</v>
      </c>
      <c r="BT207" s="10">
        <f t="shared" si="98"/>
        <v>2.8166666667675599</v>
      </c>
      <c r="BU207" s="42">
        <f t="shared" si="99"/>
        <v>2</v>
      </c>
      <c r="BV207" s="11">
        <f t="shared" si="100"/>
        <v>0</v>
      </c>
      <c r="BW207" s="11">
        <f t="shared" si="101"/>
        <v>0</v>
      </c>
      <c r="BX207" s="11">
        <f t="shared" si="102"/>
        <v>2</v>
      </c>
      <c r="BY207" s="11">
        <f t="shared" si="103"/>
        <v>0</v>
      </c>
      <c r="BZ207" s="11">
        <f t="shared" si="104"/>
        <v>0</v>
      </c>
      <c r="CA207" s="11">
        <f t="shared" si="105"/>
        <v>2</v>
      </c>
      <c r="CB207" s="42">
        <f t="shared" si="106"/>
        <v>0</v>
      </c>
      <c r="CC207" s="11">
        <f t="shared" si="107"/>
        <v>0</v>
      </c>
      <c r="CD207" s="11">
        <f t="shared" si="108"/>
        <v>1</v>
      </c>
      <c r="CE207" s="4"/>
      <c r="CF207" s="50">
        <f t="shared" si="109"/>
        <v>0</v>
      </c>
      <c r="CG207" s="50">
        <f t="shared" si="110"/>
        <v>0</v>
      </c>
      <c r="CH207" s="50">
        <f t="shared" si="111"/>
        <v>5.6333333335351199</v>
      </c>
      <c r="CI207" s="50">
        <f t="shared" si="112"/>
        <v>2</v>
      </c>
      <c r="CJ207" s="50">
        <f t="shared" si="113"/>
        <v>0</v>
      </c>
      <c r="CK207" s="50">
        <f t="shared" si="114"/>
        <v>0</v>
      </c>
      <c r="CL207" s="50">
        <f t="shared" si="115"/>
        <v>0</v>
      </c>
      <c r="CM207" s="50">
        <f t="shared" si="116"/>
        <v>0</v>
      </c>
      <c r="CN207" s="50">
        <f t="shared" si="117"/>
        <v>5.6333333335351199</v>
      </c>
      <c r="CO207" s="50">
        <f t="shared" si="118"/>
        <v>2</v>
      </c>
      <c r="CP207" s="50">
        <f t="shared" si="119"/>
        <v>0</v>
      </c>
      <c r="CQ207" s="50">
        <f t="shared" si="120"/>
        <v>0</v>
      </c>
      <c r="CR207"/>
    </row>
    <row r="208" spans="2:96" s="497" customFormat="1" ht="15.75" customHeight="1" x14ac:dyDescent="0.15">
      <c r="B208" s="59"/>
      <c r="D208" s="130">
        <v>21</v>
      </c>
      <c r="AA208" s="28" t="s">
        <v>701</v>
      </c>
      <c r="AB208" s="31" t="s">
        <v>1081</v>
      </c>
      <c r="AC208" s="247" t="s">
        <v>1435</v>
      </c>
      <c r="AD208" s="314" t="s">
        <v>110</v>
      </c>
      <c r="AE208" s="315" t="s">
        <v>1959</v>
      </c>
      <c r="AF208" s="316" t="s">
        <v>1432</v>
      </c>
      <c r="AG208" s="248" t="s">
        <v>1960</v>
      </c>
      <c r="AH208" s="248" t="s">
        <v>1961</v>
      </c>
      <c r="AI208" s="248" t="s">
        <v>100</v>
      </c>
      <c r="AJ208" s="317">
        <v>7.5833333332557196</v>
      </c>
      <c r="AK208" s="315" t="s">
        <v>1962</v>
      </c>
      <c r="AL208" s="315">
        <v>0</v>
      </c>
      <c r="AM208" s="315">
        <v>0</v>
      </c>
      <c r="AN208" s="42">
        <f t="shared" si="81"/>
        <v>1</v>
      </c>
      <c r="AO208" s="318">
        <v>0</v>
      </c>
      <c r="AP208" s="318">
        <v>0</v>
      </c>
      <c r="AQ208" s="318">
        <v>1</v>
      </c>
      <c r="AR208" s="318">
        <v>0</v>
      </c>
      <c r="AS208" s="318">
        <v>0</v>
      </c>
      <c r="AT208" s="318">
        <v>1</v>
      </c>
      <c r="AU208" s="42">
        <f t="shared" si="82"/>
        <v>0</v>
      </c>
      <c r="AV208" s="318">
        <v>0</v>
      </c>
      <c r="AW208" s="318">
        <v>210</v>
      </c>
      <c r="AX208" s="315"/>
      <c r="AY208" s="636"/>
      <c r="AZ208" s="319"/>
      <c r="BA208" s="319"/>
      <c r="BB208" s="318">
        <v>1</v>
      </c>
      <c r="BC208" s="9"/>
      <c r="BD208" s="9"/>
      <c r="BE208" s="50">
        <f t="shared" si="83"/>
        <v>0</v>
      </c>
      <c r="BF208" s="50">
        <f t="shared" si="84"/>
        <v>0</v>
      </c>
      <c r="BG208" s="50">
        <f t="shared" si="85"/>
        <v>7.5833333332557196</v>
      </c>
      <c r="BH208" s="50">
        <f t="shared" si="86"/>
        <v>1</v>
      </c>
      <c r="BI208" s="50">
        <f t="shared" si="87"/>
        <v>0</v>
      </c>
      <c r="BJ208" s="50">
        <f t="shared" si="88"/>
        <v>0</v>
      </c>
      <c r="BK208" s="50">
        <f t="shared" si="89"/>
        <v>0</v>
      </c>
      <c r="BL208" s="50">
        <f t="shared" si="90"/>
        <v>0</v>
      </c>
      <c r="BM208" s="50">
        <f t="shared" si="91"/>
        <v>7.5833333332557196</v>
      </c>
      <c r="BN208" s="50">
        <f t="shared" si="92"/>
        <v>1</v>
      </c>
      <c r="BO208" s="50">
        <f t="shared" si="93"/>
        <v>0</v>
      </c>
      <c r="BP208" s="50">
        <f t="shared" si="94"/>
        <v>0</v>
      </c>
      <c r="BQ208" s="4" t="str">
        <f t="shared" si="95"/>
        <v>10,30 2025.10.07</v>
      </c>
      <c r="BR208" s="4" t="str">
        <f t="shared" si="96"/>
        <v>18,05 2025.10.07</v>
      </c>
      <c r="BS208" s="4" t="str">
        <f t="shared" si="97"/>
        <v>П</v>
      </c>
      <c r="BT208" s="10">
        <f t="shared" si="98"/>
        <v>7.5833333332557196</v>
      </c>
      <c r="BU208" s="42">
        <f t="shared" si="99"/>
        <v>1</v>
      </c>
      <c r="BV208" s="11">
        <f t="shared" si="100"/>
        <v>0</v>
      </c>
      <c r="BW208" s="11">
        <f t="shared" si="101"/>
        <v>0</v>
      </c>
      <c r="BX208" s="11">
        <f t="shared" si="102"/>
        <v>1</v>
      </c>
      <c r="BY208" s="11">
        <f t="shared" si="103"/>
        <v>0</v>
      </c>
      <c r="BZ208" s="11">
        <f t="shared" si="104"/>
        <v>0</v>
      </c>
      <c r="CA208" s="11">
        <f t="shared" si="105"/>
        <v>1</v>
      </c>
      <c r="CB208" s="42">
        <f t="shared" si="106"/>
        <v>0</v>
      </c>
      <c r="CC208" s="11">
        <f t="shared" si="107"/>
        <v>0</v>
      </c>
      <c r="CD208" s="11">
        <f t="shared" si="108"/>
        <v>1</v>
      </c>
      <c r="CE208" s="4"/>
      <c r="CF208" s="50">
        <f t="shared" si="109"/>
        <v>0</v>
      </c>
      <c r="CG208" s="50">
        <f t="shared" si="110"/>
        <v>0</v>
      </c>
      <c r="CH208" s="50">
        <f t="shared" si="111"/>
        <v>7.5833333332557196</v>
      </c>
      <c r="CI208" s="50">
        <f t="shared" si="112"/>
        <v>1</v>
      </c>
      <c r="CJ208" s="50">
        <f t="shared" si="113"/>
        <v>0</v>
      </c>
      <c r="CK208" s="50">
        <f t="shared" si="114"/>
        <v>0</v>
      </c>
      <c r="CL208" s="50">
        <f t="shared" si="115"/>
        <v>0</v>
      </c>
      <c r="CM208" s="50">
        <f t="shared" si="116"/>
        <v>0</v>
      </c>
      <c r="CN208" s="50">
        <f t="shared" si="117"/>
        <v>7.5833333332557196</v>
      </c>
      <c r="CO208" s="50">
        <f t="shared" si="118"/>
        <v>1</v>
      </c>
      <c r="CP208" s="50">
        <f t="shared" si="119"/>
        <v>0</v>
      </c>
      <c r="CQ208" s="50">
        <f t="shared" si="120"/>
        <v>0</v>
      </c>
      <c r="CR208"/>
    </row>
    <row r="209" spans="2:96" s="498" customFormat="1" ht="15.75" customHeight="1" x14ac:dyDescent="0.15">
      <c r="B209" s="59"/>
      <c r="D209" s="130">
        <v>21</v>
      </c>
      <c r="AA209" s="28" t="s">
        <v>701</v>
      </c>
      <c r="AB209" s="31" t="s">
        <v>1082</v>
      </c>
      <c r="AC209" s="247" t="s">
        <v>1445</v>
      </c>
      <c r="AD209" s="314" t="s">
        <v>110</v>
      </c>
      <c r="AE209" s="315" t="s">
        <v>1761</v>
      </c>
      <c r="AF209" s="316" t="s">
        <v>1432</v>
      </c>
      <c r="AG209" s="248" t="s">
        <v>1963</v>
      </c>
      <c r="AH209" s="248" t="s">
        <v>1964</v>
      </c>
      <c r="AI209" s="248" t="s">
        <v>100</v>
      </c>
      <c r="AJ209" s="317">
        <v>1.6666666546370799E-2</v>
      </c>
      <c r="AK209" s="315" t="s">
        <v>1763</v>
      </c>
      <c r="AL209" s="315">
        <v>0</v>
      </c>
      <c r="AM209" s="315">
        <v>0</v>
      </c>
      <c r="AN209" s="42">
        <f t="shared" si="81"/>
        <v>1</v>
      </c>
      <c r="AO209" s="318">
        <v>0</v>
      </c>
      <c r="AP209" s="318">
        <v>0</v>
      </c>
      <c r="AQ209" s="318">
        <v>1</v>
      </c>
      <c r="AR209" s="318">
        <v>0</v>
      </c>
      <c r="AS209" s="318">
        <v>0</v>
      </c>
      <c r="AT209" s="318">
        <v>1</v>
      </c>
      <c r="AU209" s="42">
        <f t="shared" si="82"/>
        <v>0</v>
      </c>
      <c r="AV209" s="318">
        <v>0</v>
      </c>
      <c r="AW209" s="318">
        <v>170</v>
      </c>
      <c r="AX209" s="315"/>
      <c r="AY209" s="636"/>
      <c r="AZ209" s="319"/>
      <c r="BA209" s="319"/>
      <c r="BB209" s="318">
        <v>1</v>
      </c>
      <c r="BC209" s="9"/>
      <c r="BD209" s="9"/>
      <c r="BE209" s="50">
        <f t="shared" si="83"/>
        <v>0</v>
      </c>
      <c r="BF209" s="50">
        <f t="shared" si="84"/>
        <v>0</v>
      </c>
      <c r="BG209" s="50">
        <f t="shared" si="85"/>
        <v>1.6666666546370799E-2</v>
      </c>
      <c r="BH209" s="50">
        <f t="shared" si="86"/>
        <v>1</v>
      </c>
      <c r="BI209" s="50">
        <f t="shared" si="87"/>
        <v>0</v>
      </c>
      <c r="BJ209" s="50">
        <f t="shared" si="88"/>
        <v>0</v>
      </c>
      <c r="BK209" s="50">
        <f t="shared" si="89"/>
        <v>0</v>
      </c>
      <c r="BL209" s="50">
        <f t="shared" si="90"/>
        <v>0</v>
      </c>
      <c r="BM209" s="50">
        <f t="shared" si="91"/>
        <v>1.6666666546370799E-2</v>
      </c>
      <c r="BN209" s="50">
        <f t="shared" si="92"/>
        <v>1</v>
      </c>
      <c r="BO209" s="50">
        <f t="shared" si="93"/>
        <v>0</v>
      </c>
      <c r="BP209" s="50">
        <f t="shared" si="94"/>
        <v>0</v>
      </c>
      <c r="BQ209" s="4" t="str">
        <f t="shared" si="95"/>
        <v>15,01 2025.10.07</v>
      </c>
      <c r="BR209" s="4" t="str">
        <f t="shared" si="96"/>
        <v>15,02 2025.10.07</v>
      </c>
      <c r="BS209" s="4" t="str">
        <f t="shared" si="97"/>
        <v>П</v>
      </c>
      <c r="BT209" s="10">
        <f t="shared" si="98"/>
        <v>1.6666666546370799E-2</v>
      </c>
      <c r="BU209" s="42">
        <f t="shared" si="99"/>
        <v>1</v>
      </c>
      <c r="BV209" s="11">
        <f t="shared" si="100"/>
        <v>0</v>
      </c>
      <c r="BW209" s="11">
        <f t="shared" si="101"/>
        <v>0</v>
      </c>
      <c r="BX209" s="11">
        <f t="shared" si="102"/>
        <v>1</v>
      </c>
      <c r="BY209" s="11">
        <f t="shared" si="103"/>
        <v>0</v>
      </c>
      <c r="BZ209" s="11">
        <f t="shared" si="104"/>
        <v>0</v>
      </c>
      <c r="CA209" s="11">
        <f t="shared" si="105"/>
        <v>1</v>
      </c>
      <c r="CB209" s="42">
        <f t="shared" si="106"/>
        <v>0</v>
      </c>
      <c r="CC209" s="11">
        <f t="shared" si="107"/>
        <v>0</v>
      </c>
      <c r="CD209" s="11">
        <f t="shared" si="108"/>
        <v>1</v>
      </c>
      <c r="CE209" s="4"/>
      <c r="CF209" s="50">
        <f t="shared" si="109"/>
        <v>0</v>
      </c>
      <c r="CG209" s="50">
        <f t="shared" si="110"/>
        <v>0</v>
      </c>
      <c r="CH209" s="50">
        <f t="shared" si="111"/>
        <v>1.6666666546370799E-2</v>
      </c>
      <c r="CI209" s="50">
        <f t="shared" si="112"/>
        <v>1</v>
      </c>
      <c r="CJ209" s="50">
        <f t="shared" si="113"/>
        <v>0</v>
      </c>
      <c r="CK209" s="50">
        <f t="shared" si="114"/>
        <v>0</v>
      </c>
      <c r="CL209" s="50">
        <f t="shared" si="115"/>
        <v>0</v>
      </c>
      <c r="CM209" s="50">
        <f t="shared" si="116"/>
        <v>0</v>
      </c>
      <c r="CN209" s="50">
        <f t="shared" si="117"/>
        <v>1.6666666546370799E-2</v>
      </c>
      <c r="CO209" s="50">
        <f t="shared" si="118"/>
        <v>1</v>
      </c>
      <c r="CP209" s="50">
        <f t="shared" si="119"/>
        <v>0</v>
      </c>
      <c r="CQ209" s="50">
        <f t="shared" si="120"/>
        <v>0</v>
      </c>
      <c r="CR209"/>
    </row>
    <row r="210" spans="2:96" s="499" customFormat="1" ht="15.75" customHeight="1" x14ac:dyDescent="0.15">
      <c r="B210" s="59"/>
      <c r="D210" s="130">
        <v>21</v>
      </c>
      <c r="AA210" s="28" t="s">
        <v>701</v>
      </c>
      <c r="AB210" s="31" t="s">
        <v>1083</v>
      </c>
      <c r="AC210" s="247" t="s">
        <v>1627</v>
      </c>
      <c r="AD210" s="314" t="s">
        <v>110</v>
      </c>
      <c r="AE210" s="315" t="s">
        <v>1965</v>
      </c>
      <c r="AF210" s="316" t="s">
        <v>1432</v>
      </c>
      <c r="AG210" s="248" t="s">
        <v>1966</v>
      </c>
      <c r="AH210" s="248" t="s">
        <v>1967</v>
      </c>
      <c r="AI210" s="248" t="s">
        <v>100</v>
      </c>
      <c r="AJ210" s="317">
        <v>2.4999999999417901</v>
      </c>
      <c r="AK210" s="315" t="s">
        <v>1968</v>
      </c>
      <c r="AL210" s="315">
        <v>0</v>
      </c>
      <c r="AM210" s="315">
        <v>0</v>
      </c>
      <c r="AN210" s="42">
        <f t="shared" si="81"/>
        <v>3</v>
      </c>
      <c r="AO210" s="318">
        <v>0</v>
      </c>
      <c r="AP210" s="318">
        <v>0</v>
      </c>
      <c r="AQ210" s="318">
        <v>3</v>
      </c>
      <c r="AR210" s="318">
        <v>0</v>
      </c>
      <c r="AS210" s="318">
        <v>0</v>
      </c>
      <c r="AT210" s="318">
        <v>3</v>
      </c>
      <c r="AU210" s="42">
        <f t="shared" si="82"/>
        <v>0</v>
      </c>
      <c r="AV210" s="318">
        <v>0</v>
      </c>
      <c r="AW210" s="318">
        <v>220</v>
      </c>
      <c r="AX210" s="315"/>
      <c r="AY210" s="636"/>
      <c r="AZ210" s="319"/>
      <c r="BA210" s="319"/>
      <c r="BB210" s="318">
        <v>1</v>
      </c>
      <c r="BC210" s="9"/>
      <c r="BD210" s="9"/>
      <c r="BE210" s="50">
        <f t="shared" si="83"/>
        <v>0</v>
      </c>
      <c r="BF210" s="50">
        <f t="shared" si="84"/>
        <v>0</v>
      </c>
      <c r="BG210" s="50">
        <f t="shared" si="85"/>
        <v>7.4999999998253699</v>
      </c>
      <c r="BH210" s="50">
        <f t="shared" si="86"/>
        <v>3</v>
      </c>
      <c r="BI210" s="50">
        <f t="shared" si="87"/>
        <v>0</v>
      </c>
      <c r="BJ210" s="50">
        <f t="shared" si="88"/>
        <v>0</v>
      </c>
      <c r="BK210" s="50">
        <f t="shared" si="89"/>
        <v>0</v>
      </c>
      <c r="BL210" s="50">
        <f t="shared" si="90"/>
        <v>0</v>
      </c>
      <c r="BM210" s="50">
        <f t="shared" si="91"/>
        <v>7.4999999998253699</v>
      </c>
      <c r="BN210" s="50">
        <f t="shared" si="92"/>
        <v>3</v>
      </c>
      <c r="BO210" s="50">
        <f t="shared" si="93"/>
        <v>0</v>
      </c>
      <c r="BP210" s="50">
        <f t="shared" si="94"/>
        <v>0</v>
      </c>
      <c r="BQ210" s="4" t="str">
        <f t="shared" si="95"/>
        <v>12,30 2025.10.09</v>
      </c>
      <c r="BR210" s="4" t="str">
        <f t="shared" si="96"/>
        <v>15,00 2025.10.09</v>
      </c>
      <c r="BS210" s="4" t="str">
        <f t="shared" si="97"/>
        <v>П</v>
      </c>
      <c r="BT210" s="10">
        <f t="shared" si="98"/>
        <v>2.4999999999417901</v>
      </c>
      <c r="BU210" s="42">
        <f t="shared" si="99"/>
        <v>3</v>
      </c>
      <c r="BV210" s="11">
        <f t="shared" si="100"/>
        <v>0</v>
      </c>
      <c r="BW210" s="11">
        <f t="shared" si="101"/>
        <v>0</v>
      </c>
      <c r="BX210" s="11">
        <f t="shared" si="102"/>
        <v>3</v>
      </c>
      <c r="BY210" s="11">
        <f t="shared" si="103"/>
        <v>0</v>
      </c>
      <c r="BZ210" s="11">
        <f t="shared" si="104"/>
        <v>0</v>
      </c>
      <c r="CA210" s="11">
        <f t="shared" si="105"/>
        <v>3</v>
      </c>
      <c r="CB210" s="42">
        <f t="shared" si="106"/>
        <v>0</v>
      </c>
      <c r="CC210" s="11">
        <f t="shared" si="107"/>
        <v>0</v>
      </c>
      <c r="CD210" s="11">
        <f t="shared" si="108"/>
        <v>1</v>
      </c>
      <c r="CE210" s="4"/>
      <c r="CF210" s="50">
        <f t="shared" si="109"/>
        <v>0</v>
      </c>
      <c r="CG210" s="50">
        <f t="shared" si="110"/>
        <v>0</v>
      </c>
      <c r="CH210" s="50">
        <f t="shared" si="111"/>
        <v>7.4999999998253699</v>
      </c>
      <c r="CI210" s="50">
        <f t="shared" si="112"/>
        <v>3</v>
      </c>
      <c r="CJ210" s="50">
        <f t="shared" si="113"/>
        <v>0</v>
      </c>
      <c r="CK210" s="50">
        <f t="shared" si="114"/>
        <v>0</v>
      </c>
      <c r="CL210" s="50">
        <f t="shared" si="115"/>
        <v>0</v>
      </c>
      <c r="CM210" s="50">
        <f t="shared" si="116"/>
        <v>0</v>
      </c>
      <c r="CN210" s="50">
        <f t="shared" si="117"/>
        <v>7.4999999998253699</v>
      </c>
      <c r="CO210" s="50">
        <f t="shared" si="118"/>
        <v>3</v>
      </c>
      <c r="CP210" s="50">
        <f t="shared" si="119"/>
        <v>0</v>
      </c>
      <c r="CQ210" s="50">
        <f t="shared" si="120"/>
        <v>0</v>
      </c>
      <c r="CR210"/>
    </row>
    <row r="211" spans="2:96" s="500" customFormat="1" ht="15.75" customHeight="1" x14ac:dyDescent="0.15">
      <c r="B211" s="59"/>
      <c r="D211" s="130">
        <v>21</v>
      </c>
      <c r="AA211" s="28" t="s">
        <v>701</v>
      </c>
      <c r="AB211" s="31" t="s">
        <v>1084</v>
      </c>
      <c r="AC211" s="247" t="s">
        <v>1445</v>
      </c>
      <c r="AD211" s="314" t="s">
        <v>110</v>
      </c>
      <c r="AE211" s="315" t="s">
        <v>1969</v>
      </c>
      <c r="AF211" s="316" t="s">
        <v>1432</v>
      </c>
      <c r="AG211" s="248" t="s">
        <v>1970</v>
      </c>
      <c r="AH211" s="248" t="s">
        <v>1971</v>
      </c>
      <c r="AI211" s="248" t="s">
        <v>100</v>
      </c>
      <c r="AJ211" s="317">
        <v>3.8166666665347302</v>
      </c>
      <c r="AK211" s="315" t="s">
        <v>1972</v>
      </c>
      <c r="AL211" s="315">
        <v>0</v>
      </c>
      <c r="AM211" s="315">
        <v>0</v>
      </c>
      <c r="AN211" s="42">
        <f t="shared" si="81"/>
        <v>1</v>
      </c>
      <c r="AO211" s="318">
        <v>0</v>
      </c>
      <c r="AP211" s="318">
        <v>0</v>
      </c>
      <c r="AQ211" s="318">
        <v>1</v>
      </c>
      <c r="AR211" s="318">
        <v>0</v>
      </c>
      <c r="AS211" s="318">
        <v>0</v>
      </c>
      <c r="AT211" s="318">
        <v>1</v>
      </c>
      <c r="AU211" s="42">
        <f t="shared" si="82"/>
        <v>0</v>
      </c>
      <c r="AV211" s="318">
        <v>0</v>
      </c>
      <c r="AW211" s="318">
        <v>200</v>
      </c>
      <c r="AX211" s="315"/>
      <c r="AY211" s="636"/>
      <c r="AZ211" s="319"/>
      <c r="BA211" s="319"/>
      <c r="BB211" s="318">
        <v>1</v>
      </c>
      <c r="BC211" s="9"/>
      <c r="BD211" s="9"/>
      <c r="BE211" s="50">
        <f t="shared" si="83"/>
        <v>0</v>
      </c>
      <c r="BF211" s="50">
        <f t="shared" si="84"/>
        <v>0</v>
      </c>
      <c r="BG211" s="50">
        <f t="shared" si="85"/>
        <v>3.8166666665347302</v>
      </c>
      <c r="BH211" s="50">
        <f t="shared" si="86"/>
        <v>1</v>
      </c>
      <c r="BI211" s="50">
        <f t="shared" si="87"/>
        <v>0</v>
      </c>
      <c r="BJ211" s="50">
        <f t="shared" si="88"/>
        <v>0</v>
      </c>
      <c r="BK211" s="50">
        <f t="shared" si="89"/>
        <v>0</v>
      </c>
      <c r="BL211" s="50">
        <f t="shared" si="90"/>
        <v>0</v>
      </c>
      <c r="BM211" s="50">
        <f t="shared" si="91"/>
        <v>3.8166666665347302</v>
      </c>
      <c r="BN211" s="50">
        <f t="shared" si="92"/>
        <v>1</v>
      </c>
      <c r="BO211" s="50">
        <f t="shared" si="93"/>
        <v>0</v>
      </c>
      <c r="BP211" s="50">
        <f t="shared" si="94"/>
        <v>0</v>
      </c>
      <c r="BQ211" s="4" t="str">
        <f t="shared" si="95"/>
        <v>15,30 2025.10.09</v>
      </c>
      <c r="BR211" s="4" t="str">
        <f t="shared" si="96"/>
        <v>19,19 2025.10.09</v>
      </c>
      <c r="BS211" s="4" t="str">
        <f t="shared" si="97"/>
        <v>П</v>
      </c>
      <c r="BT211" s="10">
        <f t="shared" si="98"/>
        <v>3.8166666665347302</v>
      </c>
      <c r="BU211" s="42">
        <f t="shared" si="99"/>
        <v>1</v>
      </c>
      <c r="BV211" s="11">
        <f t="shared" si="100"/>
        <v>0</v>
      </c>
      <c r="BW211" s="11">
        <f t="shared" si="101"/>
        <v>0</v>
      </c>
      <c r="BX211" s="11">
        <f t="shared" si="102"/>
        <v>1</v>
      </c>
      <c r="BY211" s="11">
        <f t="shared" si="103"/>
        <v>0</v>
      </c>
      <c r="BZ211" s="11">
        <f t="shared" si="104"/>
        <v>0</v>
      </c>
      <c r="CA211" s="11">
        <f t="shared" si="105"/>
        <v>1</v>
      </c>
      <c r="CB211" s="42">
        <f t="shared" si="106"/>
        <v>0</v>
      </c>
      <c r="CC211" s="11">
        <f t="shared" si="107"/>
        <v>0</v>
      </c>
      <c r="CD211" s="11">
        <f t="shared" si="108"/>
        <v>1</v>
      </c>
      <c r="CE211" s="4"/>
      <c r="CF211" s="50">
        <f t="shared" si="109"/>
        <v>0</v>
      </c>
      <c r="CG211" s="50">
        <f t="shared" si="110"/>
        <v>0</v>
      </c>
      <c r="CH211" s="50">
        <f t="shared" si="111"/>
        <v>3.8166666665347302</v>
      </c>
      <c r="CI211" s="50">
        <f t="shared" si="112"/>
        <v>1</v>
      </c>
      <c r="CJ211" s="50">
        <f t="shared" si="113"/>
        <v>0</v>
      </c>
      <c r="CK211" s="50">
        <f t="shared" si="114"/>
        <v>0</v>
      </c>
      <c r="CL211" s="50">
        <f t="shared" si="115"/>
        <v>0</v>
      </c>
      <c r="CM211" s="50">
        <f t="shared" si="116"/>
        <v>0</v>
      </c>
      <c r="CN211" s="50">
        <f t="shared" si="117"/>
        <v>3.8166666665347302</v>
      </c>
      <c r="CO211" s="50">
        <f t="shared" si="118"/>
        <v>1</v>
      </c>
      <c r="CP211" s="50">
        <f t="shared" si="119"/>
        <v>0</v>
      </c>
      <c r="CQ211" s="50">
        <f t="shared" si="120"/>
        <v>0</v>
      </c>
      <c r="CR211"/>
    </row>
    <row r="212" spans="2:96" s="501" customFormat="1" ht="15.75" customHeight="1" x14ac:dyDescent="0.15">
      <c r="B212" s="59"/>
      <c r="D212" s="130">
        <v>21</v>
      </c>
      <c r="AA212" s="28" t="s">
        <v>701</v>
      </c>
      <c r="AB212" s="31" t="s">
        <v>1085</v>
      </c>
      <c r="AC212" s="247" t="s">
        <v>1445</v>
      </c>
      <c r="AD212" s="314" t="s">
        <v>110</v>
      </c>
      <c r="AE212" s="315" t="s">
        <v>1973</v>
      </c>
      <c r="AF212" s="316" t="s">
        <v>1432</v>
      </c>
      <c r="AG212" s="248" t="s">
        <v>1974</v>
      </c>
      <c r="AH212" s="248" t="s">
        <v>1975</v>
      </c>
      <c r="AI212" s="248" t="s">
        <v>100</v>
      </c>
      <c r="AJ212" s="317">
        <v>3.3333333333721402</v>
      </c>
      <c r="AK212" s="315" t="s">
        <v>1976</v>
      </c>
      <c r="AL212" s="315">
        <v>0</v>
      </c>
      <c r="AM212" s="315">
        <v>0</v>
      </c>
      <c r="AN212" s="42">
        <f t="shared" si="81"/>
        <v>1</v>
      </c>
      <c r="AO212" s="318">
        <v>0</v>
      </c>
      <c r="AP212" s="318">
        <v>0</v>
      </c>
      <c r="AQ212" s="318">
        <v>1</v>
      </c>
      <c r="AR212" s="318">
        <v>0</v>
      </c>
      <c r="AS212" s="318">
        <v>0</v>
      </c>
      <c r="AT212" s="318">
        <v>1</v>
      </c>
      <c r="AU212" s="42">
        <f t="shared" si="82"/>
        <v>0</v>
      </c>
      <c r="AV212" s="318">
        <v>0</v>
      </c>
      <c r="AW212" s="318">
        <v>310</v>
      </c>
      <c r="AX212" s="315"/>
      <c r="AY212" s="636"/>
      <c r="AZ212" s="319"/>
      <c r="BA212" s="319"/>
      <c r="BB212" s="318">
        <v>1</v>
      </c>
      <c r="BC212" s="9"/>
      <c r="BD212" s="9"/>
      <c r="BE212" s="50">
        <f t="shared" si="83"/>
        <v>0</v>
      </c>
      <c r="BF212" s="50">
        <f t="shared" si="84"/>
        <v>0</v>
      </c>
      <c r="BG212" s="50">
        <f t="shared" si="85"/>
        <v>3.3333333333721402</v>
      </c>
      <c r="BH212" s="50">
        <f t="shared" si="86"/>
        <v>1</v>
      </c>
      <c r="BI212" s="50">
        <f t="shared" si="87"/>
        <v>0</v>
      </c>
      <c r="BJ212" s="50">
        <f t="shared" si="88"/>
        <v>0</v>
      </c>
      <c r="BK212" s="50">
        <f t="shared" si="89"/>
        <v>0</v>
      </c>
      <c r="BL212" s="50">
        <f t="shared" si="90"/>
        <v>0</v>
      </c>
      <c r="BM212" s="50">
        <f t="shared" si="91"/>
        <v>3.3333333333721402</v>
      </c>
      <c r="BN212" s="50">
        <f t="shared" si="92"/>
        <v>1</v>
      </c>
      <c r="BO212" s="50">
        <f t="shared" si="93"/>
        <v>0</v>
      </c>
      <c r="BP212" s="50">
        <f t="shared" si="94"/>
        <v>0</v>
      </c>
      <c r="BQ212" s="4" t="str">
        <f t="shared" si="95"/>
        <v>10,00 2025.10.10</v>
      </c>
      <c r="BR212" s="4" t="str">
        <f t="shared" si="96"/>
        <v>13,20 2025.10.10</v>
      </c>
      <c r="BS212" s="4" t="str">
        <f t="shared" si="97"/>
        <v>П</v>
      </c>
      <c r="BT212" s="10">
        <f t="shared" si="98"/>
        <v>3.3333333333721402</v>
      </c>
      <c r="BU212" s="42">
        <f t="shared" si="99"/>
        <v>1</v>
      </c>
      <c r="BV212" s="11">
        <f t="shared" si="100"/>
        <v>0</v>
      </c>
      <c r="BW212" s="11">
        <f t="shared" si="101"/>
        <v>0</v>
      </c>
      <c r="BX212" s="11">
        <f t="shared" si="102"/>
        <v>1</v>
      </c>
      <c r="BY212" s="11">
        <f t="shared" si="103"/>
        <v>0</v>
      </c>
      <c r="BZ212" s="11">
        <f t="shared" si="104"/>
        <v>0</v>
      </c>
      <c r="CA212" s="11">
        <f t="shared" si="105"/>
        <v>1</v>
      </c>
      <c r="CB212" s="42">
        <f t="shared" si="106"/>
        <v>0</v>
      </c>
      <c r="CC212" s="11">
        <f t="shared" si="107"/>
        <v>0</v>
      </c>
      <c r="CD212" s="11">
        <f t="shared" si="108"/>
        <v>1</v>
      </c>
      <c r="CE212" s="4"/>
      <c r="CF212" s="50">
        <f t="shared" si="109"/>
        <v>0</v>
      </c>
      <c r="CG212" s="50">
        <f t="shared" si="110"/>
        <v>0</v>
      </c>
      <c r="CH212" s="50">
        <f t="shared" si="111"/>
        <v>3.3333333333721402</v>
      </c>
      <c r="CI212" s="50">
        <f t="shared" si="112"/>
        <v>1</v>
      </c>
      <c r="CJ212" s="50">
        <f t="shared" si="113"/>
        <v>0</v>
      </c>
      <c r="CK212" s="50">
        <f t="shared" si="114"/>
        <v>0</v>
      </c>
      <c r="CL212" s="50">
        <f t="shared" si="115"/>
        <v>0</v>
      </c>
      <c r="CM212" s="50">
        <f t="shared" si="116"/>
        <v>0</v>
      </c>
      <c r="CN212" s="50">
        <f t="shared" si="117"/>
        <v>3.3333333333721402</v>
      </c>
      <c r="CO212" s="50">
        <f t="shared" si="118"/>
        <v>1</v>
      </c>
      <c r="CP212" s="50">
        <f t="shared" si="119"/>
        <v>0</v>
      </c>
      <c r="CQ212" s="50">
        <f t="shared" si="120"/>
        <v>0</v>
      </c>
      <c r="CR212"/>
    </row>
    <row r="213" spans="2:96" s="502" customFormat="1" ht="15.75" customHeight="1" x14ac:dyDescent="0.15">
      <c r="B213" s="59"/>
      <c r="D213" s="130">
        <v>21</v>
      </c>
      <c r="AA213" s="28" t="s">
        <v>701</v>
      </c>
      <c r="AB213" s="31" t="s">
        <v>1086</v>
      </c>
      <c r="AC213" s="247" t="s">
        <v>1445</v>
      </c>
      <c r="AD213" s="314" t="s">
        <v>110</v>
      </c>
      <c r="AE213" s="315" t="s">
        <v>1446</v>
      </c>
      <c r="AF213" s="316" t="s">
        <v>1432</v>
      </c>
      <c r="AG213" s="248" t="s">
        <v>1977</v>
      </c>
      <c r="AH213" s="248" t="s">
        <v>1978</v>
      </c>
      <c r="AI213" s="248" t="s">
        <v>122</v>
      </c>
      <c r="AJ213" s="317">
        <v>1.59999999997672</v>
      </c>
      <c r="AK213" s="315" t="s">
        <v>1449</v>
      </c>
      <c r="AL213" s="315">
        <v>0</v>
      </c>
      <c r="AM213" s="315">
        <v>2</v>
      </c>
      <c r="AN213" s="42">
        <f t="shared" si="81"/>
        <v>3</v>
      </c>
      <c r="AO213" s="318">
        <v>0</v>
      </c>
      <c r="AP213" s="318">
        <v>2</v>
      </c>
      <c r="AQ213" s="318">
        <v>1</v>
      </c>
      <c r="AR213" s="318">
        <v>0</v>
      </c>
      <c r="AS213" s="318">
        <v>0</v>
      </c>
      <c r="AT213" s="318">
        <v>3</v>
      </c>
      <c r="AU213" s="42">
        <f t="shared" si="82"/>
        <v>0</v>
      </c>
      <c r="AV213" s="318">
        <v>0</v>
      </c>
      <c r="AW213" s="318">
        <v>1215</v>
      </c>
      <c r="AX213" s="315"/>
      <c r="AY213" s="636" t="s">
        <v>2107</v>
      </c>
      <c r="AZ213" s="319" t="s">
        <v>171</v>
      </c>
      <c r="BA213" s="319" t="s">
        <v>2041</v>
      </c>
      <c r="BB213" s="318">
        <v>1</v>
      </c>
      <c r="BC213" s="9"/>
      <c r="BD213" s="9"/>
      <c r="BE213" s="50">
        <f t="shared" si="83"/>
        <v>0</v>
      </c>
      <c r="BF213" s="50">
        <f t="shared" si="84"/>
        <v>0</v>
      </c>
      <c r="BG213" s="50">
        <f t="shared" si="85"/>
        <v>0</v>
      </c>
      <c r="BH213" s="50">
        <f t="shared" si="86"/>
        <v>0</v>
      </c>
      <c r="BI213" s="50">
        <f t="shared" si="87"/>
        <v>0</v>
      </c>
      <c r="BJ213" s="50">
        <f t="shared" si="88"/>
        <v>0</v>
      </c>
      <c r="BK213" s="50">
        <f t="shared" si="89"/>
        <v>0</v>
      </c>
      <c r="BL213" s="50">
        <f t="shared" si="90"/>
        <v>0</v>
      </c>
      <c r="BM213" s="50">
        <f t="shared" si="91"/>
        <v>0</v>
      </c>
      <c r="BN213" s="50">
        <f t="shared" si="92"/>
        <v>0</v>
      </c>
      <c r="BO213" s="50">
        <f t="shared" si="93"/>
        <v>0</v>
      </c>
      <c r="BP213" s="50">
        <f t="shared" si="94"/>
        <v>0</v>
      </c>
      <c r="BQ213" s="4" t="str">
        <f t="shared" si="95"/>
        <v>12,32 2025.10.16</v>
      </c>
      <c r="BR213" s="4" t="str">
        <f t="shared" si="96"/>
        <v>14,08 2025.10.16</v>
      </c>
      <c r="BS213" s="4" t="str">
        <f t="shared" si="97"/>
        <v>В</v>
      </c>
      <c r="BT213" s="10">
        <f t="shared" si="98"/>
        <v>1.59999999997672</v>
      </c>
      <c r="BU213" s="42">
        <f t="shared" si="99"/>
        <v>3</v>
      </c>
      <c r="BV213" s="11">
        <f t="shared" si="100"/>
        <v>0</v>
      </c>
      <c r="BW213" s="11">
        <f t="shared" si="101"/>
        <v>2</v>
      </c>
      <c r="BX213" s="11">
        <f t="shared" si="102"/>
        <v>1</v>
      </c>
      <c r="BY213" s="11">
        <f t="shared" si="103"/>
        <v>0</v>
      </c>
      <c r="BZ213" s="11">
        <f t="shared" si="104"/>
        <v>0</v>
      </c>
      <c r="CA213" s="11">
        <f t="shared" si="105"/>
        <v>3</v>
      </c>
      <c r="CB213" s="42">
        <f t="shared" si="106"/>
        <v>0</v>
      </c>
      <c r="CC213" s="11">
        <f t="shared" si="107"/>
        <v>0</v>
      </c>
      <c r="CD213" s="11">
        <f t="shared" si="108"/>
        <v>1</v>
      </c>
      <c r="CE213" s="4"/>
      <c r="CF213" s="50">
        <f t="shared" si="109"/>
        <v>0</v>
      </c>
      <c r="CG213" s="50">
        <f t="shared" si="110"/>
        <v>0</v>
      </c>
      <c r="CH213" s="50">
        <f t="shared" si="111"/>
        <v>0</v>
      </c>
      <c r="CI213" s="50">
        <f t="shared" si="112"/>
        <v>0</v>
      </c>
      <c r="CJ213" s="50">
        <f t="shared" si="113"/>
        <v>0</v>
      </c>
      <c r="CK213" s="50">
        <f t="shared" si="114"/>
        <v>0</v>
      </c>
      <c r="CL213" s="50">
        <f t="shared" si="115"/>
        <v>0</v>
      </c>
      <c r="CM213" s="50">
        <f t="shared" si="116"/>
        <v>0</v>
      </c>
      <c r="CN213" s="50">
        <f t="shared" si="117"/>
        <v>0</v>
      </c>
      <c r="CO213" s="50">
        <f t="shared" si="118"/>
        <v>0</v>
      </c>
      <c r="CP213" s="50">
        <f t="shared" si="119"/>
        <v>0</v>
      </c>
      <c r="CQ213" s="50">
        <f t="shared" si="120"/>
        <v>0</v>
      </c>
      <c r="CR213"/>
    </row>
    <row r="214" spans="2:96" s="503" customFormat="1" ht="15.75" customHeight="1" x14ac:dyDescent="0.15">
      <c r="B214" s="59"/>
      <c r="D214" s="130">
        <v>21</v>
      </c>
      <c r="AA214" s="28" t="s">
        <v>701</v>
      </c>
      <c r="AB214" s="31" t="s">
        <v>1087</v>
      </c>
      <c r="AC214" s="247" t="s">
        <v>1445</v>
      </c>
      <c r="AD214" s="314" t="s">
        <v>110</v>
      </c>
      <c r="AE214" s="315" t="s">
        <v>1542</v>
      </c>
      <c r="AF214" s="316" t="s">
        <v>1432</v>
      </c>
      <c r="AG214" s="248" t="s">
        <v>1979</v>
      </c>
      <c r="AH214" s="248" t="s">
        <v>1980</v>
      </c>
      <c r="AI214" s="248" t="s">
        <v>100</v>
      </c>
      <c r="AJ214" s="317">
        <v>3.4333333333488598</v>
      </c>
      <c r="AK214" s="315" t="s">
        <v>1545</v>
      </c>
      <c r="AL214" s="315">
        <v>0</v>
      </c>
      <c r="AM214" s="315">
        <v>0</v>
      </c>
      <c r="AN214" s="42">
        <f t="shared" si="81"/>
        <v>2</v>
      </c>
      <c r="AO214" s="318">
        <v>0</v>
      </c>
      <c r="AP214" s="318">
        <v>0</v>
      </c>
      <c r="AQ214" s="318">
        <v>2</v>
      </c>
      <c r="AR214" s="318">
        <v>0</v>
      </c>
      <c r="AS214" s="318">
        <v>0</v>
      </c>
      <c r="AT214" s="318">
        <v>2</v>
      </c>
      <c r="AU214" s="42">
        <f t="shared" si="82"/>
        <v>0</v>
      </c>
      <c r="AV214" s="318">
        <v>0</v>
      </c>
      <c r="AW214" s="318">
        <v>950</v>
      </c>
      <c r="AX214" s="315"/>
      <c r="AY214" s="636"/>
      <c r="AZ214" s="319"/>
      <c r="BA214" s="319"/>
      <c r="BB214" s="318">
        <v>1</v>
      </c>
      <c r="BC214" s="9"/>
      <c r="BD214" s="9"/>
      <c r="BE214" s="50">
        <f t="shared" si="83"/>
        <v>0</v>
      </c>
      <c r="BF214" s="50">
        <f t="shared" si="84"/>
        <v>0</v>
      </c>
      <c r="BG214" s="50">
        <f t="shared" si="85"/>
        <v>6.8666666666977196</v>
      </c>
      <c r="BH214" s="50">
        <f t="shared" si="86"/>
        <v>2</v>
      </c>
      <c r="BI214" s="50">
        <f t="shared" si="87"/>
        <v>0</v>
      </c>
      <c r="BJ214" s="50">
        <f t="shared" si="88"/>
        <v>0</v>
      </c>
      <c r="BK214" s="50">
        <f t="shared" si="89"/>
        <v>0</v>
      </c>
      <c r="BL214" s="50">
        <f t="shared" si="90"/>
        <v>0</v>
      </c>
      <c r="BM214" s="50">
        <f t="shared" si="91"/>
        <v>6.8666666666977196</v>
      </c>
      <c r="BN214" s="50">
        <f t="shared" si="92"/>
        <v>2</v>
      </c>
      <c r="BO214" s="50">
        <f t="shared" si="93"/>
        <v>0</v>
      </c>
      <c r="BP214" s="50">
        <f t="shared" si="94"/>
        <v>0</v>
      </c>
      <c r="BQ214" s="4" t="str">
        <f t="shared" si="95"/>
        <v>14,51 2025.10.16</v>
      </c>
      <c r="BR214" s="4" t="str">
        <f t="shared" si="96"/>
        <v>18,17 2025.10.16</v>
      </c>
      <c r="BS214" s="4" t="str">
        <f t="shared" si="97"/>
        <v>П</v>
      </c>
      <c r="BT214" s="10">
        <f t="shared" si="98"/>
        <v>3.4333333333488598</v>
      </c>
      <c r="BU214" s="42">
        <f t="shared" si="99"/>
        <v>2</v>
      </c>
      <c r="BV214" s="11">
        <f t="shared" si="100"/>
        <v>0</v>
      </c>
      <c r="BW214" s="11">
        <f t="shared" si="101"/>
        <v>0</v>
      </c>
      <c r="BX214" s="11">
        <f t="shared" si="102"/>
        <v>2</v>
      </c>
      <c r="BY214" s="11">
        <f t="shared" si="103"/>
        <v>0</v>
      </c>
      <c r="BZ214" s="11">
        <f t="shared" si="104"/>
        <v>0</v>
      </c>
      <c r="CA214" s="11">
        <f t="shared" si="105"/>
        <v>2</v>
      </c>
      <c r="CB214" s="42">
        <f t="shared" si="106"/>
        <v>0</v>
      </c>
      <c r="CC214" s="11">
        <f t="shared" si="107"/>
        <v>0</v>
      </c>
      <c r="CD214" s="11">
        <f t="shared" si="108"/>
        <v>1</v>
      </c>
      <c r="CE214" s="4"/>
      <c r="CF214" s="50">
        <f t="shared" si="109"/>
        <v>0</v>
      </c>
      <c r="CG214" s="50">
        <f t="shared" si="110"/>
        <v>0</v>
      </c>
      <c r="CH214" s="50">
        <f t="shared" si="111"/>
        <v>6.8666666666977196</v>
      </c>
      <c r="CI214" s="50">
        <f t="shared" si="112"/>
        <v>2</v>
      </c>
      <c r="CJ214" s="50">
        <f t="shared" si="113"/>
        <v>0</v>
      </c>
      <c r="CK214" s="50">
        <f t="shared" si="114"/>
        <v>0</v>
      </c>
      <c r="CL214" s="50">
        <f t="shared" si="115"/>
        <v>0</v>
      </c>
      <c r="CM214" s="50">
        <f t="shared" si="116"/>
        <v>0</v>
      </c>
      <c r="CN214" s="50">
        <f t="shared" si="117"/>
        <v>6.8666666666977196</v>
      </c>
      <c r="CO214" s="50">
        <f t="shared" si="118"/>
        <v>2</v>
      </c>
      <c r="CP214" s="50">
        <f t="shared" si="119"/>
        <v>0</v>
      </c>
      <c r="CQ214" s="50">
        <f t="shared" si="120"/>
        <v>0</v>
      </c>
      <c r="CR214"/>
    </row>
    <row r="215" spans="2:96" s="504" customFormat="1" ht="15.75" customHeight="1" x14ac:dyDescent="0.15">
      <c r="B215" s="59"/>
      <c r="D215" s="130">
        <v>21</v>
      </c>
      <c r="AA215" s="28" t="s">
        <v>701</v>
      </c>
      <c r="AB215" s="31" t="s">
        <v>1088</v>
      </c>
      <c r="AC215" s="247" t="s">
        <v>1445</v>
      </c>
      <c r="AD215" s="314" t="s">
        <v>110</v>
      </c>
      <c r="AE215" s="315" t="s">
        <v>1981</v>
      </c>
      <c r="AF215" s="316" t="s">
        <v>1432</v>
      </c>
      <c r="AG215" s="248" t="s">
        <v>1982</v>
      </c>
      <c r="AH215" s="248" t="s">
        <v>1983</v>
      </c>
      <c r="AI215" s="248" t="s">
        <v>100</v>
      </c>
      <c r="AJ215" s="317">
        <v>1.7499999999417899</v>
      </c>
      <c r="AK215" s="315" t="s">
        <v>1984</v>
      </c>
      <c r="AL215" s="315">
        <v>0</v>
      </c>
      <c r="AM215" s="315">
        <v>0</v>
      </c>
      <c r="AN215" s="42">
        <f t="shared" si="81"/>
        <v>1</v>
      </c>
      <c r="AO215" s="318">
        <v>0</v>
      </c>
      <c r="AP215" s="318">
        <v>0</v>
      </c>
      <c r="AQ215" s="318">
        <v>1</v>
      </c>
      <c r="AR215" s="318">
        <v>0</v>
      </c>
      <c r="AS215" s="318">
        <v>0</v>
      </c>
      <c r="AT215" s="318">
        <v>1</v>
      </c>
      <c r="AU215" s="42">
        <f t="shared" si="82"/>
        <v>0</v>
      </c>
      <c r="AV215" s="318">
        <v>0</v>
      </c>
      <c r="AW215" s="318">
        <v>150</v>
      </c>
      <c r="AX215" s="315"/>
      <c r="AY215" s="636"/>
      <c r="AZ215" s="319"/>
      <c r="BA215" s="319"/>
      <c r="BB215" s="318">
        <v>1</v>
      </c>
      <c r="BC215" s="9"/>
      <c r="BD215" s="9"/>
      <c r="BE215" s="50">
        <f t="shared" si="83"/>
        <v>0</v>
      </c>
      <c r="BF215" s="50">
        <f t="shared" si="84"/>
        <v>0</v>
      </c>
      <c r="BG215" s="50">
        <f t="shared" si="85"/>
        <v>1.7499999999417899</v>
      </c>
      <c r="BH215" s="50">
        <f t="shared" si="86"/>
        <v>1</v>
      </c>
      <c r="BI215" s="50">
        <f t="shared" si="87"/>
        <v>0</v>
      </c>
      <c r="BJ215" s="50">
        <f t="shared" si="88"/>
        <v>0</v>
      </c>
      <c r="BK215" s="50">
        <f t="shared" si="89"/>
        <v>0</v>
      </c>
      <c r="BL215" s="50">
        <f t="shared" si="90"/>
        <v>0</v>
      </c>
      <c r="BM215" s="50">
        <f t="shared" si="91"/>
        <v>1.7499999999417899</v>
      </c>
      <c r="BN215" s="50">
        <f t="shared" si="92"/>
        <v>1</v>
      </c>
      <c r="BO215" s="50">
        <f t="shared" si="93"/>
        <v>0</v>
      </c>
      <c r="BP215" s="50">
        <f t="shared" si="94"/>
        <v>0</v>
      </c>
      <c r="BQ215" s="4" t="str">
        <f t="shared" si="95"/>
        <v>15,43 2025.10.16</v>
      </c>
      <c r="BR215" s="4" t="str">
        <f t="shared" si="96"/>
        <v>17,28 2025.10.16</v>
      </c>
      <c r="BS215" s="4" t="str">
        <f t="shared" si="97"/>
        <v>П</v>
      </c>
      <c r="BT215" s="10">
        <f t="shared" si="98"/>
        <v>1.7499999999417899</v>
      </c>
      <c r="BU215" s="42">
        <f t="shared" si="99"/>
        <v>1</v>
      </c>
      <c r="BV215" s="11">
        <f t="shared" si="100"/>
        <v>0</v>
      </c>
      <c r="BW215" s="11">
        <f t="shared" si="101"/>
        <v>0</v>
      </c>
      <c r="BX215" s="11">
        <f t="shared" si="102"/>
        <v>1</v>
      </c>
      <c r="BY215" s="11">
        <f t="shared" si="103"/>
        <v>0</v>
      </c>
      <c r="BZ215" s="11">
        <f t="shared" si="104"/>
        <v>0</v>
      </c>
      <c r="CA215" s="11">
        <f t="shared" si="105"/>
        <v>1</v>
      </c>
      <c r="CB215" s="42">
        <f t="shared" si="106"/>
        <v>0</v>
      </c>
      <c r="CC215" s="11">
        <f t="shared" si="107"/>
        <v>0</v>
      </c>
      <c r="CD215" s="11">
        <f t="shared" si="108"/>
        <v>1</v>
      </c>
      <c r="CE215" s="4"/>
      <c r="CF215" s="50">
        <f t="shared" si="109"/>
        <v>0</v>
      </c>
      <c r="CG215" s="50">
        <f t="shared" si="110"/>
        <v>0</v>
      </c>
      <c r="CH215" s="50">
        <f t="shared" si="111"/>
        <v>1.7499999999417899</v>
      </c>
      <c r="CI215" s="50">
        <f t="shared" si="112"/>
        <v>1</v>
      </c>
      <c r="CJ215" s="50">
        <f t="shared" si="113"/>
        <v>0</v>
      </c>
      <c r="CK215" s="50">
        <f t="shared" si="114"/>
        <v>0</v>
      </c>
      <c r="CL215" s="50">
        <f t="shared" si="115"/>
        <v>0</v>
      </c>
      <c r="CM215" s="50">
        <f t="shared" si="116"/>
        <v>0</v>
      </c>
      <c r="CN215" s="50">
        <f t="shared" si="117"/>
        <v>1.7499999999417899</v>
      </c>
      <c r="CO215" s="50">
        <f t="shared" si="118"/>
        <v>1</v>
      </c>
      <c r="CP215" s="50">
        <f t="shared" si="119"/>
        <v>0</v>
      </c>
      <c r="CQ215" s="50">
        <f t="shared" si="120"/>
        <v>0</v>
      </c>
      <c r="CR215"/>
    </row>
    <row r="216" spans="2:96" s="505" customFormat="1" ht="15.75" customHeight="1" x14ac:dyDescent="0.15">
      <c r="B216" s="59"/>
      <c r="D216" s="130">
        <v>21</v>
      </c>
      <c r="AA216" s="28" t="s">
        <v>701</v>
      </c>
      <c r="AB216" s="31" t="s">
        <v>1089</v>
      </c>
      <c r="AC216" s="247" t="s">
        <v>1445</v>
      </c>
      <c r="AD216" s="314" t="s">
        <v>110</v>
      </c>
      <c r="AE216" s="315" t="s">
        <v>1903</v>
      </c>
      <c r="AF216" s="316" t="s">
        <v>1432</v>
      </c>
      <c r="AG216" s="248" t="s">
        <v>1985</v>
      </c>
      <c r="AH216" s="248" t="s">
        <v>1986</v>
      </c>
      <c r="AI216" s="248" t="s">
        <v>100</v>
      </c>
      <c r="AJ216" s="317">
        <v>4.8333333333721402</v>
      </c>
      <c r="AK216" s="315" t="s">
        <v>1906</v>
      </c>
      <c r="AL216" s="315">
        <v>0</v>
      </c>
      <c r="AM216" s="315">
        <v>0</v>
      </c>
      <c r="AN216" s="42">
        <f t="shared" si="81"/>
        <v>2</v>
      </c>
      <c r="AO216" s="318">
        <v>0</v>
      </c>
      <c r="AP216" s="318">
        <v>0</v>
      </c>
      <c r="AQ216" s="318">
        <v>2</v>
      </c>
      <c r="AR216" s="318">
        <v>0</v>
      </c>
      <c r="AS216" s="318">
        <v>0</v>
      </c>
      <c r="AT216" s="318">
        <v>2</v>
      </c>
      <c r="AU216" s="42">
        <f t="shared" si="82"/>
        <v>0</v>
      </c>
      <c r="AV216" s="318">
        <v>0</v>
      </c>
      <c r="AW216" s="318">
        <v>60</v>
      </c>
      <c r="AX216" s="315"/>
      <c r="AY216" s="636"/>
      <c r="AZ216" s="319"/>
      <c r="BA216" s="319"/>
      <c r="BB216" s="318">
        <v>1</v>
      </c>
      <c r="BC216" s="9"/>
      <c r="BD216" s="9"/>
      <c r="BE216" s="50">
        <f t="shared" si="83"/>
        <v>0</v>
      </c>
      <c r="BF216" s="50">
        <f t="shared" si="84"/>
        <v>0</v>
      </c>
      <c r="BG216" s="50">
        <f t="shared" si="85"/>
        <v>9.6666666667442804</v>
      </c>
      <c r="BH216" s="50">
        <f t="shared" si="86"/>
        <v>2</v>
      </c>
      <c r="BI216" s="50">
        <f t="shared" si="87"/>
        <v>0</v>
      </c>
      <c r="BJ216" s="50">
        <f t="shared" si="88"/>
        <v>0</v>
      </c>
      <c r="BK216" s="50">
        <f t="shared" si="89"/>
        <v>0</v>
      </c>
      <c r="BL216" s="50">
        <f t="shared" si="90"/>
        <v>0</v>
      </c>
      <c r="BM216" s="50">
        <f t="shared" si="91"/>
        <v>9.6666666667442804</v>
      </c>
      <c r="BN216" s="50">
        <f t="shared" si="92"/>
        <v>2</v>
      </c>
      <c r="BO216" s="50">
        <f t="shared" si="93"/>
        <v>0</v>
      </c>
      <c r="BP216" s="50">
        <f t="shared" si="94"/>
        <v>0</v>
      </c>
      <c r="BQ216" s="4" t="str">
        <f t="shared" si="95"/>
        <v>13,32 2025.10.17</v>
      </c>
      <c r="BR216" s="4" t="str">
        <f t="shared" si="96"/>
        <v>18,22 2025.10.17</v>
      </c>
      <c r="BS216" s="4" t="str">
        <f t="shared" si="97"/>
        <v>П</v>
      </c>
      <c r="BT216" s="10">
        <f t="shared" si="98"/>
        <v>4.8333333333721402</v>
      </c>
      <c r="BU216" s="42">
        <f t="shared" si="99"/>
        <v>2</v>
      </c>
      <c r="BV216" s="11">
        <f t="shared" si="100"/>
        <v>0</v>
      </c>
      <c r="BW216" s="11">
        <f t="shared" si="101"/>
        <v>0</v>
      </c>
      <c r="BX216" s="11">
        <f t="shared" si="102"/>
        <v>2</v>
      </c>
      <c r="BY216" s="11">
        <f t="shared" si="103"/>
        <v>0</v>
      </c>
      <c r="BZ216" s="11">
        <f t="shared" si="104"/>
        <v>0</v>
      </c>
      <c r="CA216" s="11">
        <f t="shared" si="105"/>
        <v>2</v>
      </c>
      <c r="CB216" s="42">
        <f t="shared" si="106"/>
        <v>0</v>
      </c>
      <c r="CC216" s="11">
        <f t="shared" si="107"/>
        <v>0</v>
      </c>
      <c r="CD216" s="11">
        <f t="shared" si="108"/>
        <v>1</v>
      </c>
      <c r="CE216" s="4"/>
      <c r="CF216" s="50">
        <f t="shared" si="109"/>
        <v>0</v>
      </c>
      <c r="CG216" s="50">
        <f t="shared" si="110"/>
        <v>0</v>
      </c>
      <c r="CH216" s="50">
        <f t="shared" si="111"/>
        <v>9.6666666667442804</v>
      </c>
      <c r="CI216" s="50">
        <f t="shared" si="112"/>
        <v>2</v>
      </c>
      <c r="CJ216" s="50">
        <f t="shared" si="113"/>
        <v>0</v>
      </c>
      <c r="CK216" s="50">
        <f t="shared" si="114"/>
        <v>0</v>
      </c>
      <c r="CL216" s="50">
        <f t="shared" si="115"/>
        <v>0</v>
      </c>
      <c r="CM216" s="50">
        <f t="shared" si="116"/>
        <v>0</v>
      </c>
      <c r="CN216" s="50">
        <f t="shared" si="117"/>
        <v>9.6666666667442804</v>
      </c>
      <c r="CO216" s="50">
        <f t="shared" si="118"/>
        <v>2</v>
      </c>
      <c r="CP216" s="50">
        <f t="shared" si="119"/>
        <v>0</v>
      </c>
      <c r="CQ216" s="50">
        <f t="shared" si="120"/>
        <v>0</v>
      </c>
      <c r="CR216"/>
    </row>
    <row r="217" spans="2:96" s="506" customFormat="1" ht="15.75" customHeight="1" x14ac:dyDescent="0.15">
      <c r="B217" s="59"/>
      <c r="D217" s="130">
        <v>21</v>
      </c>
      <c r="AA217" s="28" t="s">
        <v>701</v>
      </c>
      <c r="AB217" s="31" t="s">
        <v>1090</v>
      </c>
      <c r="AC217" s="247" t="s">
        <v>1445</v>
      </c>
      <c r="AD217" s="314" t="s">
        <v>110</v>
      </c>
      <c r="AE217" s="315" t="s">
        <v>1519</v>
      </c>
      <c r="AF217" s="316" t="s">
        <v>1432</v>
      </c>
      <c r="AG217" s="248" t="s">
        <v>1985</v>
      </c>
      <c r="AH217" s="248" t="s">
        <v>1986</v>
      </c>
      <c r="AI217" s="248" t="s">
        <v>100</v>
      </c>
      <c r="AJ217" s="317">
        <v>4.8333333333721402</v>
      </c>
      <c r="AK217" s="315" t="s">
        <v>1521</v>
      </c>
      <c r="AL217" s="315">
        <v>0</v>
      </c>
      <c r="AM217" s="315">
        <v>0</v>
      </c>
      <c r="AN217" s="42">
        <f t="shared" si="81"/>
        <v>4</v>
      </c>
      <c r="AO217" s="318">
        <v>0</v>
      </c>
      <c r="AP217" s="318">
        <v>0</v>
      </c>
      <c r="AQ217" s="318">
        <v>4</v>
      </c>
      <c r="AR217" s="318">
        <v>0</v>
      </c>
      <c r="AS217" s="318">
        <v>0</v>
      </c>
      <c r="AT217" s="318">
        <v>4</v>
      </c>
      <c r="AU217" s="42">
        <f t="shared" si="82"/>
        <v>0</v>
      </c>
      <c r="AV217" s="318">
        <v>0</v>
      </c>
      <c r="AW217" s="318">
        <v>550</v>
      </c>
      <c r="AX217" s="315"/>
      <c r="AY217" s="636"/>
      <c r="AZ217" s="319"/>
      <c r="BA217" s="319"/>
      <c r="BB217" s="318">
        <v>1</v>
      </c>
      <c r="BC217" s="9"/>
      <c r="BD217" s="9"/>
      <c r="BE217" s="50">
        <f t="shared" si="83"/>
        <v>0</v>
      </c>
      <c r="BF217" s="50">
        <f t="shared" si="84"/>
        <v>0</v>
      </c>
      <c r="BG217" s="50">
        <f t="shared" si="85"/>
        <v>19.333333333488561</v>
      </c>
      <c r="BH217" s="50">
        <f t="shared" si="86"/>
        <v>4</v>
      </c>
      <c r="BI217" s="50">
        <f t="shared" si="87"/>
        <v>0</v>
      </c>
      <c r="BJ217" s="50">
        <f t="shared" si="88"/>
        <v>0</v>
      </c>
      <c r="BK217" s="50">
        <f t="shared" si="89"/>
        <v>0</v>
      </c>
      <c r="BL217" s="50">
        <f t="shared" si="90"/>
        <v>0</v>
      </c>
      <c r="BM217" s="50">
        <f t="shared" si="91"/>
        <v>19.333333333488561</v>
      </c>
      <c r="BN217" s="50">
        <f t="shared" si="92"/>
        <v>4</v>
      </c>
      <c r="BO217" s="50">
        <f t="shared" si="93"/>
        <v>0</v>
      </c>
      <c r="BP217" s="50">
        <f t="shared" si="94"/>
        <v>0</v>
      </c>
      <c r="BQ217" s="4" t="str">
        <f t="shared" si="95"/>
        <v>13,32 2025.10.17</v>
      </c>
      <c r="BR217" s="4" t="str">
        <f t="shared" si="96"/>
        <v>18,22 2025.10.17</v>
      </c>
      <c r="BS217" s="4" t="str">
        <f t="shared" si="97"/>
        <v>П</v>
      </c>
      <c r="BT217" s="10">
        <f t="shared" si="98"/>
        <v>4.8333333333721402</v>
      </c>
      <c r="BU217" s="42">
        <f t="shared" si="99"/>
        <v>4</v>
      </c>
      <c r="BV217" s="11">
        <f t="shared" si="100"/>
        <v>0</v>
      </c>
      <c r="BW217" s="11">
        <f t="shared" si="101"/>
        <v>0</v>
      </c>
      <c r="BX217" s="11">
        <f t="shared" si="102"/>
        <v>4</v>
      </c>
      <c r="BY217" s="11">
        <f t="shared" si="103"/>
        <v>0</v>
      </c>
      <c r="BZ217" s="11">
        <f t="shared" si="104"/>
        <v>0</v>
      </c>
      <c r="CA217" s="11">
        <f t="shared" si="105"/>
        <v>4</v>
      </c>
      <c r="CB217" s="42">
        <f t="shared" si="106"/>
        <v>0</v>
      </c>
      <c r="CC217" s="11">
        <f t="shared" si="107"/>
        <v>0</v>
      </c>
      <c r="CD217" s="11">
        <f t="shared" si="108"/>
        <v>1</v>
      </c>
      <c r="CE217" s="4"/>
      <c r="CF217" s="50">
        <f t="shared" si="109"/>
        <v>0</v>
      </c>
      <c r="CG217" s="50">
        <f t="shared" si="110"/>
        <v>0</v>
      </c>
      <c r="CH217" s="50">
        <f t="shared" si="111"/>
        <v>19.333333333488561</v>
      </c>
      <c r="CI217" s="50">
        <f t="shared" si="112"/>
        <v>4</v>
      </c>
      <c r="CJ217" s="50">
        <f t="shared" si="113"/>
        <v>0</v>
      </c>
      <c r="CK217" s="50">
        <f t="shared" si="114"/>
        <v>0</v>
      </c>
      <c r="CL217" s="50">
        <f t="shared" si="115"/>
        <v>0</v>
      </c>
      <c r="CM217" s="50">
        <f t="shared" si="116"/>
        <v>0</v>
      </c>
      <c r="CN217" s="50">
        <f t="shared" si="117"/>
        <v>19.333333333488561</v>
      </c>
      <c r="CO217" s="50">
        <f t="shared" si="118"/>
        <v>4</v>
      </c>
      <c r="CP217" s="50">
        <f t="shared" si="119"/>
        <v>0</v>
      </c>
      <c r="CQ217" s="50">
        <f t="shared" si="120"/>
        <v>0</v>
      </c>
      <c r="CR217"/>
    </row>
    <row r="218" spans="2:96" s="507" customFormat="1" ht="15.75" customHeight="1" x14ac:dyDescent="0.15">
      <c r="B218" s="59"/>
      <c r="D218" s="130">
        <v>21</v>
      </c>
      <c r="AA218" s="28" t="s">
        <v>701</v>
      </c>
      <c r="AB218" s="31" t="s">
        <v>1091</v>
      </c>
      <c r="AC218" s="247" t="s">
        <v>1445</v>
      </c>
      <c r="AD218" s="314" t="s">
        <v>110</v>
      </c>
      <c r="AE218" s="315" t="s">
        <v>1761</v>
      </c>
      <c r="AF218" s="316" t="s">
        <v>1432</v>
      </c>
      <c r="AG218" s="248" t="s">
        <v>1987</v>
      </c>
      <c r="AH218" s="248" t="s">
        <v>1988</v>
      </c>
      <c r="AI218" s="248" t="s">
        <v>100</v>
      </c>
      <c r="AJ218" s="317">
        <v>2.0166666666045798</v>
      </c>
      <c r="AK218" s="315" t="s">
        <v>1763</v>
      </c>
      <c r="AL218" s="315">
        <v>0</v>
      </c>
      <c r="AM218" s="315">
        <v>0</v>
      </c>
      <c r="AN218" s="42">
        <f t="shared" si="81"/>
        <v>1</v>
      </c>
      <c r="AO218" s="318">
        <v>0</v>
      </c>
      <c r="AP218" s="318">
        <v>0</v>
      </c>
      <c r="AQ218" s="318">
        <v>1</v>
      </c>
      <c r="AR218" s="318">
        <v>0</v>
      </c>
      <c r="AS218" s="318">
        <v>0</v>
      </c>
      <c r="AT218" s="318">
        <v>1</v>
      </c>
      <c r="AU218" s="42">
        <f t="shared" si="82"/>
        <v>0</v>
      </c>
      <c r="AV218" s="318">
        <v>0</v>
      </c>
      <c r="AW218" s="318">
        <v>170</v>
      </c>
      <c r="AX218" s="315"/>
      <c r="AY218" s="636"/>
      <c r="AZ218" s="319"/>
      <c r="BA218" s="319"/>
      <c r="BB218" s="318">
        <v>1</v>
      </c>
      <c r="BC218" s="9"/>
      <c r="BD218" s="9"/>
      <c r="BE218" s="50">
        <f t="shared" si="83"/>
        <v>0</v>
      </c>
      <c r="BF218" s="50">
        <f t="shared" si="84"/>
        <v>0</v>
      </c>
      <c r="BG218" s="50">
        <f t="shared" si="85"/>
        <v>2.0166666666045798</v>
      </c>
      <c r="BH218" s="50">
        <f t="shared" si="86"/>
        <v>1</v>
      </c>
      <c r="BI218" s="50">
        <f t="shared" si="87"/>
        <v>0</v>
      </c>
      <c r="BJ218" s="50">
        <f t="shared" si="88"/>
        <v>0</v>
      </c>
      <c r="BK218" s="50">
        <f t="shared" si="89"/>
        <v>0</v>
      </c>
      <c r="BL218" s="50">
        <f t="shared" si="90"/>
        <v>0</v>
      </c>
      <c r="BM218" s="50">
        <f t="shared" si="91"/>
        <v>2.0166666666045798</v>
      </c>
      <c r="BN218" s="50">
        <f t="shared" si="92"/>
        <v>1</v>
      </c>
      <c r="BO218" s="50">
        <f t="shared" si="93"/>
        <v>0</v>
      </c>
      <c r="BP218" s="50">
        <f t="shared" si="94"/>
        <v>0</v>
      </c>
      <c r="BQ218" s="4" t="str">
        <f t="shared" si="95"/>
        <v>11,13 2025.10.18</v>
      </c>
      <c r="BR218" s="4" t="str">
        <f t="shared" si="96"/>
        <v>13,14 2025.10.18</v>
      </c>
      <c r="BS218" s="4" t="str">
        <f t="shared" si="97"/>
        <v>П</v>
      </c>
      <c r="BT218" s="10">
        <f t="shared" si="98"/>
        <v>2.0166666666045798</v>
      </c>
      <c r="BU218" s="42">
        <f t="shared" si="99"/>
        <v>1</v>
      </c>
      <c r="BV218" s="11">
        <f t="shared" si="100"/>
        <v>0</v>
      </c>
      <c r="BW218" s="11">
        <f t="shared" si="101"/>
        <v>0</v>
      </c>
      <c r="BX218" s="11">
        <f t="shared" si="102"/>
        <v>1</v>
      </c>
      <c r="BY218" s="11">
        <f t="shared" si="103"/>
        <v>0</v>
      </c>
      <c r="BZ218" s="11">
        <f t="shared" si="104"/>
        <v>0</v>
      </c>
      <c r="CA218" s="11">
        <f t="shared" si="105"/>
        <v>1</v>
      </c>
      <c r="CB218" s="42">
        <f t="shared" si="106"/>
        <v>0</v>
      </c>
      <c r="CC218" s="11">
        <f t="shared" si="107"/>
        <v>0</v>
      </c>
      <c r="CD218" s="11">
        <f t="shared" si="108"/>
        <v>1</v>
      </c>
      <c r="CE218" s="4"/>
      <c r="CF218" s="50">
        <f t="shared" si="109"/>
        <v>0</v>
      </c>
      <c r="CG218" s="50">
        <f t="shared" si="110"/>
        <v>0</v>
      </c>
      <c r="CH218" s="50">
        <f t="shared" si="111"/>
        <v>2.0166666666045798</v>
      </c>
      <c r="CI218" s="50">
        <f t="shared" si="112"/>
        <v>1</v>
      </c>
      <c r="CJ218" s="50">
        <f t="shared" si="113"/>
        <v>0</v>
      </c>
      <c r="CK218" s="50">
        <f t="shared" si="114"/>
        <v>0</v>
      </c>
      <c r="CL218" s="50">
        <f t="shared" si="115"/>
        <v>0</v>
      </c>
      <c r="CM218" s="50">
        <f t="shared" si="116"/>
        <v>0</v>
      </c>
      <c r="CN218" s="50">
        <f t="shared" si="117"/>
        <v>2.0166666666045798</v>
      </c>
      <c r="CO218" s="50">
        <f t="shared" si="118"/>
        <v>1</v>
      </c>
      <c r="CP218" s="50">
        <f t="shared" si="119"/>
        <v>0</v>
      </c>
      <c r="CQ218" s="50">
        <f t="shared" si="120"/>
        <v>0</v>
      </c>
      <c r="CR218"/>
    </row>
    <row r="219" spans="2:96" s="508" customFormat="1" ht="15.75" customHeight="1" x14ac:dyDescent="0.15">
      <c r="B219" s="59"/>
      <c r="D219" s="130">
        <v>21</v>
      </c>
      <c r="AA219" s="28" t="s">
        <v>701</v>
      </c>
      <c r="AB219" s="31" t="s">
        <v>1092</v>
      </c>
      <c r="AC219" s="247" t="s">
        <v>1430</v>
      </c>
      <c r="AD219" s="314" t="s">
        <v>110</v>
      </c>
      <c r="AE219" s="315" t="s">
        <v>1732</v>
      </c>
      <c r="AF219" s="316" t="s">
        <v>1432</v>
      </c>
      <c r="AG219" s="248" t="s">
        <v>1989</v>
      </c>
      <c r="AH219" s="248" t="s">
        <v>1990</v>
      </c>
      <c r="AI219" s="248" t="s">
        <v>100</v>
      </c>
      <c r="AJ219" s="317">
        <v>2.8833333333022901</v>
      </c>
      <c r="AK219" s="315" t="s">
        <v>1735</v>
      </c>
      <c r="AL219" s="315">
        <v>0</v>
      </c>
      <c r="AM219" s="315">
        <v>0</v>
      </c>
      <c r="AN219" s="42">
        <f t="shared" si="81"/>
        <v>1</v>
      </c>
      <c r="AO219" s="318">
        <v>0</v>
      </c>
      <c r="AP219" s="318">
        <v>0</v>
      </c>
      <c r="AQ219" s="318">
        <v>1</v>
      </c>
      <c r="AR219" s="318">
        <v>0</v>
      </c>
      <c r="AS219" s="318">
        <v>0</v>
      </c>
      <c r="AT219" s="318">
        <v>1</v>
      </c>
      <c r="AU219" s="42">
        <f t="shared" si="82"/>
        <v>0</v>
      </c>
      <c r="AV219" s="318">
        <v>0</v>
      </c>
      <c r="AW219" s="318">
        <v>190</v>
      </c>
      <c r="AX219" s="315"/>
      <c r="AY219" s="636"/>
      <c r="AZ219" s="319"/>
      <c r="BA219" s="319"/>
      <c r="BB219" s="318">
        <v>1</v>
      </c>
      <c r="BC219" s="9"/>
      <c r="BD219" s="9"/>
      <c r="BE219" s="50">
        <f t="shared" si="83"/>
        <v>0</v>
      </c>
      <c r="BF219" s="50">
        <f t="shared" si="84"/>
        <v>0</v>
      </c>
      <c r="BG219" s="50">
        <f t="shared" si="85"/>
        <v>2.8833333333022901</v>
      </c>
      <c r="BH219" s="50">
        <f t="shared" si="86"/>
        <v>1</v>
      </c>
      <c r="BI219" s="50">
        <f t="shared" si="87"/>
        <v>0</v>
      </c>
      <c r="BJ219" s="50">
        <f t="shared" si="88"/>
        <v>0</v>
      </c>
      <c r="BK219" s="50">
        <f t="shared" si="89"/>
        <v>0</v>
      </c>
      <c r="BL219" s="50">
        <f t="shared" si="90"/>
        <v>0</v>
      </c>
      <c r="BM219" s="50">
        <f t="shared" si="91"/>
        <v>2.8833333333022901</v>
      </c>
      <c r="BN219" s="50">
        <f t="shared" si="92"/>
        <v>1</v>
      </c>
      <c r="BO219" s="50">
        <f t="shared" si="93"/>
        <v>0</v>
      </c>
      <c r="BP219" s="50">
        <f t="shared" si="94"/>
        <v>0</v>
      </c>
      <c r="BQ219" s="4" t="str">
        <f t="shared" si="95"/>
        <v>09,14 2025.10.21</v>
      </c>
      <c r="BR219" s="4" t="str">
        <f t="shared" si="96"/>
        <v>12,07 2025.10.21</v>
      </c>
      <c r="BS219" s="4" t="str">
        <f t="shared" si="97"/>
        <v>П</v>
      </c>
      <c r="BT219" s="10">
        <f t="shared" si="98"/>
        <v>2.8833333333022901</v>
      </c>
      <c r="BU219" s="42">
        <f t="shared" si="99"/>
        <v>1</v>
      </c>
      <c r="BV219" s="11">
        <f t="shared" si="100"/>
        <v>0</v>
      </c>
      <c r="BW219" s="11">
        <f t="shared" si="101"/>
        <v>0</v>
      </c>
      <c r="BX219" s="11">
        <f t="shared" si="102"/>
        <v>1</v>
      </c>
      <c r="BY219" s="11">
        <f t="shared" si="103"/>
        <v>0</v>
      </c>
      <c r="BZ219" s="11">
        <f t="shared" si="104"/>
        <v>0</v>
      </c>
      <c r="CA219" s="11">
        <f t="shared" si="105"/>
        <v>1</v>
      </c>
      <c r="CB219" s="42">
        <f t="shared" si="106"/>
        <v>0</v>
      </c>
      <c r="CC219" s="11">
        <f t="shared" si="107"/>
        <v>0</v>
      </c>
      <c r="CD219" s="11">
        <f t="shared" si="108"/>
        <v>1</v>
      </c>
      <c r="CE219" s="4"/>
      <c r="CF219" s="50">
        <f t="shared" si="109"/>
        <v>0</v>
      </c>
      <c r="CG219" s="50">
        <f t="shared" si="110"/>
        <v>0</v>
      </c>
      <c r="CH219" s="50">
        <f t="shared" si="111"/>
        <v>2.8833333333022901</v>
      </c>
      <c r="CI219" s="50">
        <f t="shared" si="112"/>
        <v>1</v>
      </c>
      <c r="CJ219" s="50">
        <f t="shared" si="113"/>
        <v>0</v>
      </c>
      <c r="CK219" s="50">
        <f t="shared" si="114"/>
        <v>0</v>
      </c>
      <c r="CL219" s="50">
        <f t="shared" si="115"/>
        <v>0</v>
      </c>
      <c r="CM219" s="50">
        <f t="shared" si="116"/>
        <v>0</v>
      </c>
      <c r="CN219" s="50">
        <f t="shared" si="117"/>
        <v>2.8833333333022901</v>
      </c>
      <c r="CO219" s="50">
        <f t="shared" si="118"/>
        <v>1</v>
      </c>
      <c r="CP219" s="50">
        <f t="shared" si="119"/>
        <v>0</v>
      </c>
      <c r="CQ219" s="50">
        <f t="shared" si="120"/>
        <v>0</v>
      </c>
      <c r="CR219"/>
    </row>
    <row r="220" spans="2:96" s="509" customFormat="1" ht="15.75" customHeight="1" x14ac:dyDescent="0.15">
      <c r="B220" s="59"/>
      <c r="D220" s="130">
        <v>21</v>
      </c>
      <c r="AA220" s="28" t="s">
        <v>701</v>
      </c>
      <c r="AB220" s="31" t="s">
        <v>1093</v>
      </c>
      <c r="AC220" s="247" t="s">
        <v>1445</v>
      </c>
      <c r="AD220" s="314" t="s">
        <v>110</v>
      </c>
      <c r="AE220" s="315" t="s">
        <v>1694</v>
      </c>
      <c r="AF220" s="316" t="s">
        <v>1432</v>
      </c>
      <c r="AG220" s="248" t="s">
        <v>1991</v>
      </c>
      <c r="AH220" s="248" t="s">
        <v>1992</v>
      </c>
      <c r="AI220" s="248" t="s">
        <v>100</v>
      </c>
      <c r="AJ220" s="317">
        <v>2.4333333334070599</v>
      </c>
      <c r="AK220" s="315" t="s">
        <v>1697</v>
      </c>
      <c r="AL220" s="315">
        <v>0</v>
      </c>
      <c r="AM220" s="315">
        <v>0</v>
      </c>
      <c r="AN220" s="42">
        <f t="shared" si="81"/>
        <v>1</v>
      </c>
      <c r="AO220" s="318">
        <v>0</v>
      </c>
      <c r="AP220" s="318">
        <v>0</v>
      </c>
      <c r="AQ220" s="318">
        <v>1</v>
      </c>
      <c r="AR220" s="318">
        <v>0</v>
      </c>
      <c r="AS220" s="318">
        <v>0</v>
      </c>
      <c r="AT220" s="318">
        <v>1</v>
      </c>
      <c r="AU220" s="42">
        <f t="shared" si="82"/>
        <v>0</v>
      </c>
      <c r="AV220" s="318">
        <v>0</v>
      </c>
      <c r="AW220" s="318">
        <v>330</v>
      </c>
      <c r="AX220" s="315"/>
      <c r="AY220" s="636"/>
      <c r="AZ220" s="319"/>
      <c r="BA220" s="319"/>
      <c r="BB220" s="318">
        <v>1</v>
      </c>
      <c r="BC220" s="9"/>
      <c r="BD220" s="9"/>
      <c r="BE220" s="50">
        <f t="shared" si="83"/>
        <v>0</v>
      </c>
      <c r="BF220" s="50">
        <f t="shared" si="84"/>
        <v>0</v>
      </c>
      <c r="BG220" s="50">
        <f t="shared" si="85"/>
        <v>2.4333333334070599</v>
      </c>
      <c r="BH220" s="50">
        <f t="shared" si="86"/>
        <v>1</v>
      </c>
      <c r="BI220" s="50">
        <f t="shared" si="87"/>
        <v>0</v>
      </c>
      <c r="BJ220" s="50">
        <f t="shared" si="88"/>
        <v>0</v>
      </c>
      <c r="BK220" s="50">
        <f t="shared" si="89"/>
        <v>0</v>
      </c>
      <c r="BL220" s="50">
        <f t="shared" si="90"/>
        <v>0</v>
      </c>
      <c r="BM220" s="50">
        <f t="shared" si="91"/>
        <v>2.4333333334070599</v>
      </c>
      <c r="BN220" s="50">
        <f t="shared" si="92"/>
        <v>1</v>
      </c>
      <c r="BO220" s="50">
        <f t="shared" si="93"/>
        <v>0</v>
      </c>
      <c r="BP220" s="50">
        <f t="shared" si="94"/>
        <v>0</v>
      </c>
      <c r="BQ220" s="4" t="str">
        <f t="shared" si="95"/>
        <v>10,46 2025.10.22</v>
      </c>
      <c r="BR220" s="4" t="str">
        <f t="shared" si="96"/>
        <v>13,12 2025.10.22</v>
      </c>
      <c r="BS220" s="4" t="str">
        <f t="shared" si="97"/>
        <v>П</v>
      </c>
      <c r="BT220" s="10">
        <f t="shared" si="98"/>
        <v>2.4333333334070599</v>
      </c>
      <c r="BU220" s="42">
        <f t="shared" si="99"/>
        <v>1</v>
      </c>
      <c r="BV220" s="11">
        <f t="shared" si="100"/>
        <v>0</v>
      </c>
      <c r="BW220" s="11">
        <f t="shared" si="101"/>
        <v>0</v>
      </c>
      <c r="BX220" s="11">
        <f t="shared" si="102"/>
        <v>1</v>
      </c>
      <c r="BY220" s="11">
        <f t="shared" si="103"/>
        <v>0</v>
      </c>
      <c r="BZ220" s="11">
        <f t="shared" si="104"/>
        <v>0</v>
      </c>
      <c r="CA220" s="11">
        <f t="shared" si="105"/>
        <v>1</v>
      </c>
      <c r="CB220" s="42">
        <f t="shared" si="106"/>
        <v>0</v>
      </c>
      <c r="CC220" s="11">
        <f t="shared" si="107"/>
        <v>0</v>
      </c>
      <c r="CD220" s="11">
        <f t="shared" si="108"/>
        <v>1</v>
      </c>
      <c r="CE220" s="4"/>
      <c r="CF220" s="50">
        <f t="shared" si="109"/>
        <v>0</v>
      </c>
      <c r="CG220" s="50">
        <f t="shared" si="110"/>
        <v>0</v>
      </c>
      <c r="CH220" s="50">
        <f t="shared" si="111"/>
        <v>2.4333333334070599</v>
      </c>
      <c r="CI220" s="50">
        <f t="shared" si="112"/>
        <v>1</v>
      </c>
      <c r="CJ220" s="50">
        <f t="shared" si="113"/>
        <v>0</v>
      </c>
      <c r="CK220" s="50">
        <f t="shared" si="114"/>
        <v>0</v>
      </c>
      <c r="CL220" s="50">
        <f t="shared" si="115"/>
        <v>0</v>
      </c>
      <c r="CM220" s="50">
        <f t="shared" si="116"/>
        <v>0</v>
      </c>
      <c r="CN220" s="50">
        <f t="shared" si="117"/>
        <v>2.4333333334070599</v>
      </c>
      <c r="CO220" s="50">
        <f t="shared" si="118"/>
        <v>1</v>
      </c>
      <c r="CP220" s="50">
        <f t="shared" si="119"/>
        <v>0</v>
      </c>
      <c r="CQ220" s="50">
        <f t="shared" si="120"/>
        <v>0</v>
      </c>
      <c r="CR220"/>
    </row>
    <row r="221" spans="2:96" s="510" customFormat="1" ht="15.75" customHeight="1" x14ac:dyDescent="0.15">
      <c r="B221" s="59"/>
      <c r="D221" s="130">
        <v>21</v>
      </c>
      <c r="AA221" s="28" t="s">
        <v>701</v>
      </c>
      <c r="AB221" s="31" t="s">
        <v>1094</v>
      </c>
      <c r="AC221" s="247" t="s">
        <v>1445</v>
      </c>
      <c r="AD221" s="314" t="s">
        <v>110</v>
      </c>
      <c r="AE221" s="315" t="s">
        <v>1993</v>
      </c>
      <c r="AF221" s="316" t="s">
        <v>1432</v>
      </c>
      <c r="AG221" s="248" t="s">
        <v>1994</v>
      </c>
      <c r="AH221" s="248" t="s">
        <v>1995</v>
      </c>
      <c r="AI221" s="248" t="s">
        <v>100</v>
      </c>
      <c r="AJ221" s="317">
        <v>2.7666666666045798</v>
      </c>
      <c r="AK221" s="315" t="s">
        <v>1996</v>
      </c>
      <c r="AL221" s="315">
        <v>0</v>
      </c>
      <c r="AM221" s="315">
        <v>0</v>
      </c>
      <c r="AN221" s="42">
        <f t="shared" ref="AN221:AN236" si="121">AO221+AP221+AQ221+AV221</f>
        <v>1</v>
      </c>
      <c r="AO221" s="318">
        <v>0</v>
      </c>
      <c r="AP221" s="318">
        <v>0</v>
      </c>
      <c r="AQ221" s="318">
        <v>1</v>
      </c>
      <c r="AR221" s="318">
        <v>0</v>
      </c>
      <c r="AS221" s="318">
        <v>0</v>
      </c>
      <c r="AT221" s="318">
        <v>1</v>
      </c>
      <c r="AU221" s="42">
        <f t="shared" ref="AU221:AU236" si="122">AN221-AR221-AS221-AT221-AV221</f>
        <v>0</v>
      </c>
      <c r="AV221" s="318">
        <v>0</v>
      </c>
      <c r="AW221" s="318">
        <v>240</v>
      </c>
      <c r="AX221" s="315"/>
      <c r="AY221" s="636"/>
      <c r="AZ221" s="319"/>
      <c r="BA221" s="319"/>
      <c r="BB221" s="318">
        <v>1</v>
      </c>
      <c r="BC221" s="9"/>
      <c r="BD221" s="9"/>
      <c r="BE221" s="50">
        <f t="shared" ref="BE221:BE236" si="123">IF(AND(AI221="В",BB221="1"),SUMPRODUCT(AN221,AJ221),0)</f>
        <v>0</v>
      </c>
      <c r="BF221" s="50">
        <f t="shared" ref="BF221:BF236" si="124">IF(AND(AI221="В",BB221="1"),AN221,0)</f>
        <v>0</v>
      </c>
      <c r="BG221" s="50">
        <f t="shared" ref="BG221:BG236" si="125">IF(AI221="П",SUMPRODUCT(AN221,AJ221),0)</f>
        <v>2.7666666666045798</v>
      </c>
      <c r="BH221" s="50">
        <f t="shared" ref="BH221:BH236" si="126">IF(AI221="П",AN221,0)</f>
        <v>1</v>
      </c>
      <c r="BI221" s="50">
        <f t="shared" ref="BI221:BI236" si="127">IF(AI221="П",SUMPRODUCT(AR221,AJ221),0)</f>
        <v>0</v>
      </c>
      <c r="BJ221" s="50">
        <f t="shared" ref="BJ221:BJ236" si="128">IF(AI221="П",AR221,0)</f>
        <v>0</v>
      </c>
      <c r="BK221" s="50">
        <f t="shared" ref="BK221:BK236" si="129">IF(AI221="П",SUMPRODUCT(AS221,AJ221),0)</f>
        <v>0</v>
      </c>
      <c r="BL221" s="50">
        <f t="shared" ref="BL221:BL236" si="130">IF(AI221="П",AS221,0)</f>
        <v>0</v>
      </c>
      <c r="BM221" s="50">
        <f t="shared" ref="BM221:BM236" si="131">IF(AI221="П",SUMPRODUCT(AT221,AJ221),0)</f>
        <v>2.7666666666045798</v>
      </c>
      <c r="BN221" s="50">
        <f t="shared" ref="BN221:BN236" si="132">IF(AI221="П",AT221,0)</f>
        <v>1</v>
      </c>
      <c r="BO221" s="50">
        <f t="shared" ref="BO221:BO236" si="133">IF(AI221="П",SUMPRODUCT(AU221,AJ221),0)</f>
        <v>0</v>
      </c>
      <c r="BP221" s="50">
        <f t="shared" ref="BP221:BP236" si="134">IF(AI221="П",AU221,0)</f>
        <v>0</v>
      </c>
      <c r="BQ221" s="4" t="str">
        <f t="shared" ref="BQ221:BQ236" si="135">AG221</f>
        <v>14,26 2025.11.01</v>
      </c>
      <c r="BR221" s="4" t="str">
        <f t="shared" ref="BR221:BR236" si="136">AH221</f>
        <v>17,12 2025.11.01</v>
      </c>
      <c r="BS221" s="4" t="str">
        <f t="shared" ref="BS221:BS236" si="137">AI221</f>
        <v>П</v>
      </c>
      <c r="BT221" s="10">
        <f t="shared" ref="BT221:BT236" si="138">AJ221</f>
        <v>2.7666666666045798</v>
      </c>
      <c r="BU221" s="42">
        <f t="shared" ref="BU221:BU236" si="139">BV221+BW221+BX221+CC221</f>
        <v>1</v>
      </c>
      <c r="BV221" s="11">
        <f t="shared" ref="BV221:BV236" si="140">AO221</f>
        <v>0</v>
      </c>
      <c r="BW221" s="11">
        <f t="shared" ref="BW221:BW236" si="141">AP221</f>
        <v>0</v>
      </c>
      <c r="BX221" s="11">
        <f t="shared" ref="BX221:BX236" si="142">AQ221</f>
        <v>1</v>
      </c>
      <c r="BY221" s="11">
        <f t="shared" ref="BY221:BY236" si="143">AR221</f>
        <v>0</v>
      </c>
      <c r="BZ221" s="11">
        <f t="shared" ref="BZ221:BZ236" si="144">AS221</f>
        <v>0</v>
      </c>
      <c r="CA221" s="11">
        <f t="shared" ref="CA221:CA236" si="145">AT221</f>
        <v>1</v>
      </c>
      <c r="CB221" s="42">
        <f t="shared" ref="CB221:CB236" si="146">BU221-BY221-BZ221-CA221-CC221</f>
        <v>0</v>
      </c>
      <c r="CC221" s="11">
        <f t="shared" ref="CC221:CC236" si="147">AV221</f>
        <v>0</v>
      </c>
      <c r="CD221" s="11">
        <f t="shared" ref="CD221:CD236" si="148">BB221</f>
        <v>1</v>
      </c>
      <c r="CE221" s="4"/>
      <c r="CF221" s="50">
        <f t="shared" ref="CF221:CF236" si="149">IF(AND(BS221="В",CD221="1"),SUMPRODUCT(BT221,BU221),0)</f>
        <v>0</v>
      </c>
      <c r="CG221" s="50">
        <f t="shared" ref="CG221:CG236" si="150">IF(AND(BS221="В",CD221="1"),BU221,0)</f>
        <v>0</v>
      </c>
      <c r="CH221" s="50">
        <f t="shared" ref="CH221:CH236" si="151">IF(BS221="П",SUMPRODUCT(BT221,BU221),0)</f>
        <v>2.7666666666045798</v>
      </c>
      <c r="CI221" s="50">
        <f t="shared" ref="CI221:CI236" si="152">IF(BS221="П",BU221,0)</f>
        <v>1</v>
      </c>
      <c r="CJ221" s="50">
        <f t="shared" ref="CJ221:CJ236" si="153">IF(BS221="П",SUMPRODUCT(BT221,BY221),0)</f>
        <v>0</v>
      </c>
      <c r="CK221" s="50">
        <f t="shared" ref="CK221:CK236" si="154">IF(BS221="П",BY221,0)</f>
        <v>0</v>
      </c>
      <c r="CL221" s="50">
        <f t="shared" ref="CL221:CL236" si="155">IF(BS221="П",SUMPRODUCT(BT221,BZ221),0)</f>
        <v>0</v>
      </c>
      <c r="CM221" s="50">
        <f t="shared" ref="CM221:CM236" si="156">IF(BS221="П",BZ221,0)</f>
        <v>0</v>
      </c>
      <c r="CN221" s="50">
        <f t="shared" ref="CN221:CN236" si="157">IF(BS221="П",SUMPRODUCT(BT221,CA221),0)</f>
        <v>2.7666666666045798</v>
      </c>
      <c r="CO221" s="50">
        <f t="shared" ref="CO221:CO236" si="158">IF(BS221="П",CA221,0)</f>
        <v>1</v>
      </c>
      <c r="CP221" s="50">
        <f t="shared" ref="CP221:CP236" si="159">IF(BS221="П",SUMPRODUCT(BT221,CB221),0)</f>
        <v>0</v>
      </c>
      <c r="CQ221" s="50">
        <f t="shared" ref="CQ221:CQ236" si="160">IF(BS221="П",CB221,0)</f>
        <v>0</v>
      </c>
      <c r="CR221"/>
    </row>
    <row r="222" spans="2:96" s="511" customFormat="1" ht="15.75" customHeight="1" x14ac:dyDescent="0.15">
      <c r="B222" s="59"/>
      <c r="D222" s="130">
        <v>21</v>
      </c>
      <c r="AA222" s="28" t="s">
        <v>701</v>
      </c>
      <c r="AB222" s="31" t="s">
        <v>1095</v>
      </c>
      <c r="AC222" s="247" t="s">
        <v>1440</v>
      </c>
      <c r="AD222" s="314" t="s">
        <v>110</v>
      </c>
      <c r="AE222" s="315" t="s">
        <v>1997</v>
      </c>
      <c r="AF222" s="316" t="s">
        <v>1432</v>
      </c>
      <c r="AG222" s="248" t="s">
        <v>1998</v>
      </c>
      <c r="AH222" s="248" t="s">
        <v>1999</v>
      </c>
      <c r="AI222" s="248" t="s">
        <v>100</v>
      </c>
      <c r="AJ222" s="317">
        <v>1.63333333324408</v>
      </c>
      <c r="AK222" s="315" t="s">
        <v>2000</v>
      </c>
      <c r="AL222" s="315">
        <v>0</v>
      </c>
      <c r="AM222" s="315">
        <v>0</v>
      </c>
      <c r="AN222" s="42">
        <f t="shared" si="121"/>
        <v>1</v>
      </c>
      <c r="AO222" s="318">
        <v>0</v>
      </c>
      <c r="AP222" s="318">
        <v>0</v>
      </c>
      <c r="AQ222" s="318">
        <v>1</v>
      </c>
      <c r="AR222" s="318">
        <v>0</v>
      </c>
      <c r="AS222" s="318">
        <v>0</v>
      </c>
      <c r="AT222" s="318">
        <v>1</v>
      </c>
      <c r="AU222" s="42">
        <f t="shared" si="122"/>
        <v>0</v>
      </c>
      <c r="AV222" s="318">
        <v>0</v>
      </c>
      <c r="AW222" s="318">
        <v>740</v>
      </c>
      <c r="AX222" s="315"/>
      <c r="AY222" s="636"/>
      <c r="AZ222" s="319"/>
      <c r="BA222" s="319"/>
      <c r="BB222" s="318">
        <v>1</v>
      </c>
      <c r="BC222" s="9"/>
      <c r="BD222" s="9"/>
      <c r="BE222" s="50">
        <f t="shared" si="123"/>
        <v>0</v>
      </c>
      <c r="BF222" s="50">
        <f t="shared" si="124"/>
        <v>0</v>
      </c>
      <c r="BG222" s="50">
        <f t="shared" si="125"/>
        <v>1.63333333324408</v>
      </c>
      <c r="BH222" s="50">
        <f t="shared" si="126"/>
        <v>1</v>
      </c>
      <c r="BI222" s="50">
        <f t="shared" si="127"/>
        <v>0</v>
      </c>
      <c r="BJ222" s="50">
        <f t="shared" si="128"/>
        <v>0</v>
      </c>
      <c r="BK222" s="50">
        <f t="shared" si="129"/>
        <v>0</v>
      </c>
      <c r="BL222" s="50">
        <f t="shared" si="130"/>
        <v>0</v>
      </c>
      <c r="BM222" s="50">
        <f t="shared" si="131"/>
        <v>1.63333333324408</v>
      </c>
      <c r="BN222" s="50">
        <f t="shared" si="132"/>
        <v>1</v>
      </c>
      <c r="BO222" s="50">
        <f t="shared" si="133"/>
        <v>0</v>
      </c>
      <c r="BP222" s="50">
        <f t="shared" si="134"/>
        <v>0</v>
      </c>
      <c r="BQ222" s="4" t="str">
        <f t="shared" si="135"/>
        <v>10,59 2025.11.15</v>
      </c>
      <c r="BR222" s="4" t="str">
        <f t="shared" si="136"/>
        <v>12,37 2025.11.15</v>
      </c>
      <c r="BS222" s="4" t="str">
        <f t="shared" si="137"/>
        <v>П</v>
      </c>
      <c r="BT222" s="10">
        <f t="shared" si="138"/>
        <v>1.63333333324408</v>
      </c>
      <c r="BU222" s="42">
        <f t="shared" si="139"/>
        <v>1</v>
      </c>
      <c r="BV222" s="11">
        <f t="shared" si="140"/>
        <v>0</v>
      </c>
      <c r="BW222" s="11">
        <f t="shared" si="141"/>
        <v>0</v>
      </c>
      <c r="BX222" s="11">
        <f t="shared" si="142"/>
        <v>1</v>
      </c>
      <c r="BY222" s="11">
        <f t="shared" si="143"/>
        <v>0</v>
      </c>
      <c r="BZ222" s="11">
        <f t="shared" si="144"/>
        <v>0</v>
      </c>
      <c r="CA222" s="11">
        <f t="shared" si="145"/>
        <v>1</v>
      </c>
      <c r="CB222" s="42">
        <f t="shared" si="146"/>
        <v>0</v>
      </c>
      <c r="CC222" s="11">
        <f t="shared" si="147"/>
        <v>0</v>
      </c>
      <c r="CD222" s="11">
        <f t="shared" si="148"/>
        <v>1</v>
      </c>
      <c r="CE222" s="4"/>
      <c r="CF222" s="50">
        <f t="shared" si="149"/>
        <v>0</v>
      </c>
      <c r="CG222" s="50">
        <f t="shared" si="150"/>
        <v>0</v>
      </c>
      <c r="CH222" s="50">
        <f t="shared" si="151"/>
        <v>1.63333333324408</v>
      </c>
      <c r="CI222" s="50">
        <f t="shared" si="152"/>
        <v>1</v>
      </c>
      <c r="CJ222" s="50">
        <f t="shared" si="153"/>
        <v>0</v>
      </c>
      <c r="CK222" s="50">
        <f t="shared" si="154"/>
        <v>0</v>
      </c>
      <c r="CL222" s="50">
        <f t="shared" si="155"/>
        <v>0</v>
      </c>
      <c r="CM222" s="50">
        <f t="shared" si="156"/>
        <v>0</v>
      </c>
      <c r="CN222" s="50">
        <f t="shared" si="157"/>
        <v>1.63333333324408</v>
      </c>
      <c r="CO222" s="50">
        <f t="shared" si="158"/>
        <v>1</v>
      </c>
      <c r="CP222" s="50">
        <f t="shared" si="159"/>
        <v>0</v>
      </c>
      <c r="CQ222" s="50">
        <f t="shared" si="160"/>
        <v>0</v>
      </c>
      <c r="CR222"/>
    </row>
    <row r="223" spans="2:96" s="512" customFormat="1" ht="15.75" customHeight="1" x14ac:dyDescent="0.15">
      <c r="B223" s="59"/>
      <c r="D223" s="130">
        <v>21</v>
      </c>
      <c r="AA223" s="28" t="s">
        <v>701</v>
      </c>
      <c r="AB223" s="31" t="s">
        <v>1096</v>
      </c>
      <c r="AC223" s="247" t="s">
        <v>1430</v>
      </c>
      <c r="AD223" s="314" t="s">
        <v>110</v>
      </c>
      <c r="AE223" s="315" t="s">
        <v>2001</v>
      </c>
      <c r="AF223" s="316" t="s">
        <v>1432</v>
      </c>
      <c r="AG223" s="248" t="s">
        <v>2002</v>
      </c>
      <c r="AH223" s="248" t="s">
        <v>2003</v>
      </c>
      <c r="AI223" s="248" t="s">
        <v>100</v>
      </c>
      <c r="AJ223" s="317">
        <v>2.4999999999417901</v>
      </c>
      <c r="AK223" s="315" t="s">
        <v>2004</v>
      </c>
      <c r="AL223" s="315">
        <v>0</v>
      </c>
      <c r="AM223" s="315">
        <v>0</v>
      </c>
      <c r="AN223" s="42">
        <f t="shared" si="121"/>
        <v>2</v>
      </c>
      <c r="AO223" s="318">
        <v>0</v>
      </c>
      <c r="AP223" s="318">
        <v>0</v>
      </c>
      <c r="AQ223" s="318">
        <v>2</v>
      </c>
      <c r="AR223" s="318">
        <v>0</v>
      </c>
      <c r="AS223" s="318">
        <v>0</v>
      </c>
      <c r="AT223" s="318">
        <v>2</v>
      </c>
      <c r="AU223" s="42">
        <f t="shared" si="122"/>
        <v>0</v>
      </c>
      <c r="AV223" s="318">
        <v>0</v>
      </c>
      <c r="AW223" s="318">
        <v>210</v>
      </c>
      <c r="AX223" s="315"/>
      <c r="AY223" s="636"/>
      <c r="AZ223" s="319"/>
      <c r="BA223" s="319"/>
      <c r="BB223" s="318">
        <v>1</v>
      </c>
      <c r="BC223" s="9"/>
      <c r="BD223" s="9"/>
      <c r="BE223" s="50">
        <f t="shared" si="123"/>
        <v>0</v>
      </c>
      <c r="BF223" s="50">
        <f t="shared" si="124"/>
        <v>0</v>
      </c>
      <c r="BG223" s="50">
        <f t="shared" si="125"/>
        <v>4.9999999998835802</v>
      </c>
      <c r="BH223" s="50">
        <f t="shared" si="126"/>
        <v>2</v>
      </c>
      <c r="BI223" s="50">
        <f t="shared" si="127"/>
        <v>0</v>
      </c>
      <c r="BJ223" s="50">
        <f t="shared" si="128"/>
        <v>0</v>
      </c>
      <c r="BK223" s="50">
        <f t="shared" si="129"/>
        <v>0</v>
      </c>
      <c r="BL223" s="50">
        <f t="shared" si="130"/>
        <v>0</v>
      </c>
      <c r="BM223" s="50">
        <f t="shared" si="131"/>
        <v>4.9999999998835802</v>
      </c>
      <c r="BN223" s="50">
        <f t="shared" si="132"/>
        <v>2</v>
      </c>
      <c r="BO223" s="50">
        <f t="shared" si="133"/>
        <v>0</v>
      </c>
      <c r="BP223" s="50">
        <f t="shared" si="134"/>
        <v>0</v>
      </c>
      <c r="BQ223" s="4" t="str">
        <f t="shared" si="135"/>
        <v>14,35 2025.11.17</v>
      </c>
      <c r="BR223" s="4" t="str">
        <f t="shared" si="136"/>
        <v>17,05 2025.11.17</v>
      </c>
      <c r="BS223" s="4" t="str">
        <f t="shared" si="137"/>
        <v>П</v>
      </c>
      <c r="BT223" s="10">
        <f t="shared" si="138"/>
        <v>2.4999999999417901</v>
      </c>
      <c r="BU223" s="42">
        <f t="shared" si="139"/>
        <v>2</v>
      </c>
      <c r="BV223" s="11">
        <f t="shared" si="140"/>
        <v>0</v>
      </c>
      <c r="BW223" s="11">
        <f t="shared" si="141"/>
        <v>0</v>
      </c>
      <c r="BX223" s="11">
        <f t="shared" si="142"/>
        <v>2</v>
      </c>
      <c r="BY223" s="11">
        <f t="shared" si="143"/>
        <v>0</v>
      </c>
      <c r="BZ223" s="11">
        <f t="shared" si="144"/>
        <v>0</v>
      </c>
      <c r="CA223" s="11">
        <f t="shared" si="145"/>
        <v>2</v>
      </c>
      <c r="CB223" s="42">
        <f t="shared" si="146"/>
        <v>0</v>
      </c>
      <c r="CC223" s="11">
        <f t="shared" si="147"/>
        <v>0</v>
      </c>
      <c r="CD223" s="11">
        <f t="shared" si="148"/>
        <v>1</v>
      </c>
      <c r="CE223" s="4"/>
      <c r="CF223" s="50">
        <f t="shared" si="149"/>
        <v>0</v>
      </c>
      <c r="CG223" s="50">
        <f t="shared" si="150"/>
        <v>0</v>
      </c>
      <c r="CH223" s="50">
        <f t="shared" si="151"/>
        <v>4.9999999998835802</v>
      </c>
      <c r="CI223" s="50">
        <f t="shared" si="152"/>
        <v>2</v>
      </c>
      <c r="CJ223" s="50">
        <f t="shared" si="153"/>
        <v>0</v>
      </c>
      <c r="CK223" s="50">
        <f t="shared" si="154"/>
        <v>0</v>
      </c>
      <c r="CL223" s="50">
        <f t="shared" si="155"/>
        <v>0</v>
      </c>
      <c r="CM223" s="50">
        <f t="shared" si="156"/>
        <v>0</v>
      </c>
      <c r="CN223" s="50">
        <f t="shared" si="157"/>
        <v>4.9999999998835802</v>
      </c>
      <c r="CO223" s="50">
        <f t="shared" si="158"/>
        <v>2</v>
      </c>
      <c r="CP223" s="50">
        <f t="shared" si="159"/>
        <v>0</v>
      </c>
      <c r="CQ223" s="50">
        <f t="shared" si="160"/>
        <v>0</v>
      </c>
      <c r="CR223"/>
    </row>
    <row r="224" spans="2:96" s="513" customFormat="1" ht="15.75" customHeight="1" x14ac:dyDescent="0.15">
      <c r="B224" s="59"/>
      <c r="D224" s="130">
        <v>21</v>
      </c>
      <c r="AA224" s="28" t="s">
        <v>701</v>
      </c>
      <c r="AB224" s="31" t="s">
        <v>1097</v>
      </c>
      <c r="AC224" s="247" t="s">
        <v>1445</v>
      </c>
      <c r="AD224" s="314" t="s">
        <v>110</v>
      </c>
      <c r="AE224" s="315" t="s">
        <v>1757</v>
      </c>
      <c r="AF224" s="316" t="s">
        <v>1432</v>
      </c>
      <c r="AG224" s="248" t="s">
        <v>2005</v>
      </c>
      <c r="AH224" s="248" t="s">
        <v>2006</v>
      </c>
      <c r="AI224" s="248" t="s">
        <v>100</v>
      </c>
      <c r="AJ224" s="317">
        <v>7.5166666665463699</v>
      </c>
      <c r="AK224" s="315" t="s">
        <v>1760</v>
      </c>
      <c r="AL224" s="315">
        <v>0</v>
      </c>
      <c r="AM224" s="315">
        <v>0</v>
      </c>
      <c r="AN224" s="42">
        <f t="shared" si="121"/>
        <v>1</v>
      </c>
      <c r="AO224" s="318">
        <v>0</v>
      </c>
      <c r="AP224" s="318">
        <v>0</v>
      </c>
      <c r="AQ224" s="318">
        <v>1</v>
      </c>
      <c r="AR224" s="318">
        <v>0</v>
      </c>
      <c r="AS224" s="318">
        <v>0</v>
      </c>
      <c r="AT224" s="318">
        <v>1</v>
      </c>
      <c r="AU224" s="42">
        <f t="shared" si="122"/>
        <v>0</v>
      </c>
      <c r="AV224" s="318">
        <v>0</v>
      </c>
      <c r="AW224" s="318">
        <v>30</v>
      </c>
      <c r="AX224" s="315"/>
      <c r="AY224" s="636"/>
      <c r="AZ224" s="319"/>
      <c r="BA224" s="319"/>
      <c r="BB224" s="318">
        <v>1</v>
      </c>
      <c r="BC224" s="9"/>
      <c r="BD224" s="9"/>
      <c r="BE224" s="50">
        <f t="shared" si="123"/>
        <v>0</v>
      </c>
      <c r="BF224" s="50">
        <f t="shared" si="124"/>
        <v>0</v>
      </c>
      <c r="BG224" s="50">
        <f t="shared" si="125"/>
        <v>7.5166666665463699</v>
      </c>
      <c r="BH224" s="50">
        <f t="shared" si="126"/>
        <v>1</v>
      </c>
      <c r="BI224" s="50">
        <f t="shared" si="127"/>
        <v>0</v>
      </c>
      <c r="BJ224" s="50">
        <f t="shared" si="128"/>
        <v>0</v>
      </c>
      <c r="BK224" s="50">
        <f t="shared" si="129"/>
        <v>0</v>
      </c>
      <c r="BL224" s="50">
        <f t="shared" si="130"/>
        <v>0</v>
      </c>
      <c r="BM224" s="50">
        <f t="shared" si="131"/>
        <v>7.5166666665463699</v>
      </c>
      <c r="BN224" s="50">
        <f t="shared" si="132"/>
        <v>1</v>
      </c>
      <c r="BO224" s="50">
        <f t="shared" si="133"/>
        <v>0</v>
      </c>
      <c r="BP224" s="50">
        <f t="shared" si="134"/>
        <v>0</v>
      </c>
      <c r="BQ224" s="4" t="str">
        <f t="shared" si="135"/>
        <v>09,53 2025.11.18</v>
      </c>
      <c r="BR224" s="4" t="str">
        <f t="shared" si="136"/>
        <v>17,24 2025.11.18</v>
      </c>
      <c r="BS224" s="4" t="str">
        <f t="shared" si="137"/>
        <v>П</v>
      </c>
      <c r="BT224" s="10">
        <f t="shared" si="138"/>
        <v>7.5166666665463699</v>
      </c>
      <c r="BU224" s="42">
        <f t="shared" si="139"/>
        <v>1</v>
      </c>
      <c r="BV224" s="11">
        <f t="shared" si="140"/>
        <v>0</v>
      </c>
      <c r="BW224" s="11">
        <f t="shared" si="141"/>
        <v>0</v>
      </c>
      <c r="BX224" s="11">
        <f t="shared" si="142"/>
        <v>1</v>
      </c>
      <c r="BY224" s="11">
        <f t="shared" si="143"/>
        <v>0</v>
      </c>
      <c r="BZ224" s="11">
        <f t="shared" si="144"/>
        <v>0</v>
      </c>
      <c r="CA224" s="11">
        <f t="shared" si="145"/>
        <v>1</v>
      </c>
      <c r="CB224" s="42">
        <f t="shared" si="146"/>
        <v>0</v>
      </c>
      <c r="CC224" s="11">
        <f t="shared" si="147"/>
        <v>0</v>
      </c>
      <c r="CD224" s="11">
        <f t="shared" si="148"/>
        <v>1</v>
      </c>
      <c r="CE224" s="4"/>
      <c r="CF224" s="50">
        <f t="shared" si="149"/>
        <v>0</v>
      </c>
      <c r="CG224" s="50">
        <f t="shared" si="150"/>
        <v>0</v>
      </c>
      <c r="CH224" s="50">
        <f t="shared" si="151"/>
        <v>7.5166666665463699</v>
      </c>
      <c r="CI224" s="50">
        <f t="shared" si="152"/>
        <v>1</v>
      </c>
      <c r="CJ224" s="50">
        <f t="shared" si="153"/>
        <v>0</v>
      </c>
      <c r="CK224" s="50">
        <f t="shared" si="154"/>
        <v>0</v>
      </c>
      <c r="CL224" s="50">
        <f t="shared" si="155"/>
        <v>0</v>
      </c>
      <c r="CM224" s="50">
        <f t="shared" si="156"/>
        <v>0</v>
      </c>
      <c r="CN224" s="50">
        <f t="shared" si="157"/>
        <v>7.5166666665463699</v>
      </c>
      <c r="CO224" s="50">
        <f t="shared" si="158"/>
        <v>1</v>
      </c>
      <c r="CP224" s="50">
        <f t="shared" si="159"/>
        <v>0</v>
      </c>
      <c r="CQ224" s="50">
        <f t="shared" si="160"/>
        <v>0</v>
      </c>
      <c r="CR224"/>
    </row>
    <row r="225" spans="2:96" s="514" customFormat="1" ht="15.75" customHeight="1" x14ac:dyDescent="0.15">
      <c r="B225" s="59"/>
      <c r="D225" s="130">
        <v>21</v>
      </c>
      <c r="AA225" s="28" t="s">
        <v>701</v>
      </c>
      <c r="AB225" s="31" t="s">
        <v>1098</v>
      </c>
      <c r="AC225" s="247" t="s">
        <v>1627</v>
      </c>
      <c r="AD225" s="314" t="s">
        <v>110</v>
      </c>
      <c r="AE225" s="315" t="s">
        <v>2001</v>
      </c>
      <c r="AF225" s="316" t="s">
        <v>1432</v>
      </c>
      <c r="AG225" s="248" t="s">
        <v>2007</v>
      </c>
      <c r="AH225" s="248" t="s">
        <v>2008</v>
      </c>
      <c r="AI225" s="248" t="s">
        <v>100</v>
      </c>
      <c r="AJ225" s="317">
        <v>3</v>
      </c>
      <c r="AK225" s="315" t="s">
        <v>2004</v>
      </c>
      <c r="AL225" s="315">
        <v>0</v>
      </c>
      <c r="AM225" s="315">
        <v>0</v>
      </c>
      <c r="AN225" s="42">
        <f t="shared" si="121"/>
        <v>1</v>
      </c>
      <c r="AO225" s="318">
        <v>0</v>
      </c>
      <c r="AP225" s="318">
        <v>0</v>
      </c>
      <c r="AQ225" s="318">
        <v>1</v>
      </c>
      <c r="AR225" s="318">
        <v>0</v>
      </c>
      <c r="AS225" s="318">
        <v>0</v>
      </c>
      <c r="AT225" s="318">
        <v>1</v>
      </c>
      <c r="AU225" s="42">
        <f t="shared" si="122"/>
        <v>0</v>
      </c>
      <c r="AV225" s="318">
        <v>0</v>
      </c>
      <c r="AW225" s="318">
        <v>160</v>
      </c>
      <c r="AX225" s="315"/>
      <c r="AY225" s="636"/>
      <c r="AZ225" s="319"/>
      <c r="BA225" s="319"/>
      <c r="BB225" s="318">
        <v>1</v>
      </c>
      <c r="BC225" s="9"/>
      <c r="BD225" s="9"/>
      <c r="BE225" s="50">
        <f t="shared" si="123"/>
        <v>0</v>
      </c>
      <c r="BF225" s="50">
        <f t="shared" si="124"/>
        <v>0</v>
      </c>
      <c r="BG225" s="50">
        <f t="shared" si="125"/>
        <v>3</v>
      </c>
      <c r="BH225" s="50">
        <f t="shared" si="126"/>
        <v>1</v>
      </c>
      <c r="BI225" s="50">
        <f t="shared" si="127"/>
        <v>0</v>
      </c>
      <c r="BJ225" s="50">
        <f t="shared" si="128"/>
        <v>0</v>
      </c>
      <c r="BK225" s="50">
        <f t="shared" si="129"/>
        <v>0</v>
      </c>
      <c r="BL225" s="50">
        <f t="shared" si="130"/>
        <v>0</v>
      </c>
      <c r="BM225" s="50">
        <f t="shared" si="131"/>
        <v>3</v>
      </c>
      <c r="BN225" s="50">
        <f t="shared" si="132"/>
        <v>1</v>
      </c>
      <c r="BO225" s="50">
        <f t="shared" si="133"/>
        <v>0</v>
      </c>
      <c r="BP225" s="50">
        <f t="shared" si="134"/>
        <v>0</v>
      </c>
      <c r="BQ225" s="4" t="str">
        <f t="shared" si="135"/>
        <v>10,08 2025.11.19</v>
      </c>
      <c r="BR225" s="4" t="str">
        <f t="shared" si="136"/>
        <v>13,08 2025.11.19</v>
      </c>
      <c r="BS225" s="4" t="str">
        <f t="shared" si="137"/>
        <v>П</v>
      </c>
      <c r="BT225" s="10">
        <f t="shared" si="138"/>
        <v>3</v>
      </c>
      <c r="BU225" s="42">
        <f t="shared" si="139"/>
        <v>1</v>
      </c>
      <c r="BV225" s="11">
        <f t="shared" si="140"/>
        <v>0</v>
      </c>
      <c r="BW225" s="11">
        <f t="shared" si="141"/>
        <v>0</v>
      </c>
      <c r="BX225" s="11">
        <f t="shared" si="142"/>
        <v>1</v>
      </c>
      <c r="BY225" s="11">
        <f t="shared" si="143"/>
        <v>0</v>
      </c>
      <c r="BZ225" s="11">
        <f t="shared" si="144"/>
        <v>0</v>
      </c>
      <c r="CA225" s="11">
        <f t="shared" si="145"/>
        <v>1</v>
      </c>
      <c r="CB225" s="42">
        <f t="shared" si="146"/>
        <v>0</v>
      </c>
      <c r="CC225" s="11">
        <f t="shared" si="147"/>
        <v>0</v>
      </c>
      <c r="CD225" s="11">
        <f t="shared" si="148"/>
        <v>1</v>
      </c>
      <c r="CE225" s="4"/>
      <c r="CF225" s="50">
        <f t="shared" si="149"/>
        <v>0</v>
      </c>
      <c r="CG225" s="50">
        <f t="shared" si="150"/>
        <v>0</v>
      </c>
      <c r="CH225" s="50">
        <f t="shared" si="151"/>
        <v>3</v>
      </c>
      <c r="CI225" s="50">
        <f t="shared" si="152"/>
        <v>1</v>
      </c>
      <c r="CJ225" s="50">
        <f t="shared" si="153"/>
        <v>0</v>
      </c>
      <c r="CK225" s="50">
        <f t="shared" si="154"/>
        <v>0</v>
      </c>
      <c r="CL225" s="50">
        <f t="shared" si="155"/>
        <v>0</v>
      </c>
      <c r="CM225" s="50">
        <f t="shared" si="156"/>
        <v>0</v>
      </c>
      <c r="CN225" s="50">
        <f t="shared" si="157"/>
        <v>3</v>
      </c>
      <c r="CO225" s="50">
        <f t="shared" si="158"/>
        <v>1</v>
      </c>
      <c r="CP225" s="50">
        <f t="shared" si="159"/>
        <v>0</v>
      </c>
      <c r="CQ225" s="50">
        <f t="shared" si="160"/>
        <v>0</v>
      </c>
      <c r="CR225"/>
    </row>
    <row r="226" spans="2:96" s="515" customFormat="1" ht="15.75" customHeight="1" x14ac:dyDescent="0.15">
      <c r="B226" s="59"/>
      <c r="D226" s="130">
        <v>21</v>
      </c>
      <c r="AA226" s="28" t="s">
        <v>701</v>
      </c>
      <c r="AB226" s="31" t="s">
        <v>1099</v>
      </c>
      <c r="AC226" s="247" t="s">
        <v>1445</v>
      </c>
      <c r="AD226" s="314" t="s">
        <v>110</v>
      </c>
      <c r="AE226" s="315" t="s">
        <v>1761</v>
      </c>
      <c r="AF226" s="316" t="s">
        <v>1432</v>
      </c>
      <c r="AG226" s="248" t="s">
        <v>2009</v>
      </c>
      <c r="AH226" s="248" t="s">
        <v>2010</v>
      </c>
      <c r="AI226" s="248" t="s">
        <v>100</v>
      </c>
      <c r="AJ226" s="317">
        <v>6.9666666666744304</v>
      </c>
      <c r="AK226" s="315" t="s">
        <v>1763</v>
      </c>
      <c r="AL226" s="315">
        <v>0</v>
      </c>
      <c r="AM226" s="315">
        <v>0</v>
      </c>
      <c r="AN226" s="42">
        <f t="shared" si="121"/>
        <v>1</v>
      </c>
      <c r="AO226" s="318">
        <v>0</v>
      </c>
      <c r="AP226" s="318">
        <v>0</v>
      </c>
      <c r="AQ226" s="318">
        <v>1</v>
      </c>
      <c r="AR226" s="318">
        <v>0</v>
      </c>
      <c r="AS226" s="318">
        <v>0</v>
      </c>
      <c r="AT226" s="318">
        <v>1</v>
      </c>
      <c r="AU226" s="42">
        <f t="shared" si="122"/>
        <v>0</v>
      </c>
      <c r="AV226" s="318">
        <v>0</v>
      </c>
      <c r="AW226" s="318">
        <v>180</v>
      </c>
      <c r="AX226" s="315"/>
      <c r="AY226" s="636"/>
      <c r="AZ226" s="319"/>
      <c r="BA226" s="319"/>
      <c r="BB226" s="318">
        <v>1</v>
      </c>
      <c r="BC226" s="9"/>
      <c r="BD226" s="9"/>
      <c r="BE226" s="50">
        <f t="shared" si="123"/>
        <v>0</v>
      </c>
      <c r="BF226" s="50">
        <f t="shared" si="124"/>
        <v>0</v>
      </c>
      <c r="BG226" s="50">
        <f t="shared" si="125"/>
        <v>6.9666666666744304</v>
      </c>
      <c r="BH226" s="50">
        <f t="shared" si="126"/>
        <v>1</v>
      </c>
      <c r="BI226" s="50">
        <f t="shared" si="127"/>
        <v>0</v>
      </c>
      <c r="BJ226" s="50">
        <f t="shared" si="128"/>
        <v>0</v>
      </c>
      <c r="BK226" s="50">
        <f t="shared" si="129"/>
        <v>0</v>
      </c>
      <c r="BL226" s="50">
        <f t="shared" si="130"/>
        <v>0</v>
      </c>
      <c r="BM226" s="50">
        <f t="shared" si="131"/>
        <v>6.9666666666744304</v>
      </c>
      <c r="BN226" s="50">
        <f t="shared" si="132"/>
        <v>1</v>
      </c>
      <c r="BO226" s="50">
        <f t="shared" si="133"/>
        <v>0</v>
      </c>
      <c r="BP226" s="50">
        <f t="shared" si="134"/>
        <v>0</v>
      </c>
      <c r="BQ226" s="4" t="str">
        <f t="shared" si="135"/>
        <v>10,11 2025.11.19</v>
      </c>
      <c r="BR226" s="4" t="str">
        <f t="shared" si="136"/>
        <v>17,09 2025.11.19</v>
      </c>
      <c r="BS226" s="4" t="str">
        <f t="shared" si="137"/>
        <v>П</v>
      </c>
      <c r="BT226" s="10">
        <f t="shared" si="138"/>
        <v>6.9666666666744304</v>
      </c>
      <c r="BU226" s="42">
        <f t="shared" si="139"/>
        <v>1</v>
      </c>
      <c r="BV226" s="11">
        <f t="shared" si="140"/>
        <v>0</v>
      </c>
      <c r="BW226" s="11">
        <f t="shared" si="141"/>
        <v>0</v>
      </c>
      <c r="BX226" s="11">
        <f t="shared" si="142"/>
        <v>1</v>
      </c>
      <c r="BY226" s="11">
        <f t="shared" si="143"/>
        <v>0</v>
      </c>
      <c r="BZ226" s="11">
        <f t="shared" si="144"/>
        <v>0</v>
      </c>
      <c r="CA226" s="11">
        <f t="shared" si="145"/>
        <v>1</v>
      </c>
      <c r="CB226" s="42">
        <f t="shared" si="146"/>
        <v>0</v>
      </c>
      <c r="CC226" s="11">
        <f t="shared" si="147"/>
        <v>0</v>
      </c>
      <c r="CD226" s="11">
        <f t="shared" si="148"/>
        <v>1</v>
      </c>
      <c r="CE226" s="4"/>
      <c r="CF226" s="50">
        <f t="shared" si="149"/>
        <v>0</v>
      </c>
      <c r="CG226" s="50">
        <f t="shared" si="150"/>
        <v>0</v>
      </c>
      <c r="CH226" s="50">
        <f t="shared" si="151"/>
        <v>6.9666666666744304</v>
      </c>
      <c r="CI226" s="50">
        <f t="shared" si="152"/>
        <v>1</v>
      </c>
      <c r="CJ226" s="50">
        <f t="shared" si="153"/>
        <v>0</v>
      </c>
      <c r="CK226" s="50">
        <f t="shared" si="154"/>
        <v>0</v>
      </c>
      <c r="CL226" s="50">
        <f t="shared" si="155"/>
        <v>0</v>
      </c>
      <c r="CM226" s="50">
        <f t="shared" si="156"/>
        <v>0</v>
      </c>
      <c r="CN226" s="50">
        <f t="shared" si="157"/>
        <v>6.9666666666744304</v>
      </c>
      <c r="CO226" s="50">
        <f t="shared" si="158"/>
        <v>1</v>
      </c>
      <c r="CP226" s="50">
        <f t="shared" si="159"/>
        <v>0</v>
      </c>
      <c r="CQ226" s="50">
        <f t="shared" si="160"/>
        <v>0</v>
      </c>
      <c r="CR226"/>
    </row>
    <row r="227" spans="2:96" s="516" customFormat="1" ht="15.75" customHeight="1" x14ac:dyDescent="0.15">
      <c r="B227" s="59"/>
      <c r="D227" s="130">
        <v>21</v>
      </c>
      <c r="AA227" s="28" t="s">
        <v>701</v>
      </c>
      <c r="AB227" s="31" t="s">
        <v>1100</v>
      </c>
      <c r="AC227" s="247" t="s">
        <v>1445</v>
      </c>
      <c r="AD227" s="314" t="s">
        <v>110</v>
      </c>
      <c r="AE227" s="315" t="s">
        <v>1446</v>
      </c>
      <c r="AF227" s="316" t="s">
        <v>1432</v>
      </c>
      <c r="AG227" s="248" t="s">
        <v>2011</v>
      </c>
      <c r="AH227" s="248" t="s">
        <v>2012</v>
      </c>
      <c r="AI227" s="248" t="s">
        <v>100</v>
      </c>
      <c r="AJ227" s="317">
        <v>3.3666666666395</v>
      </c>
      <c r="AK227" s="315" t="s">
        <v>1449</v>
      </c>
      <c r="AL227" s="315">
        <v>0</v>
      </c>
      <c r="AM227" s="315">
        <v>0</v>
      </c>
      <c r="AN227" s="42">
        <f t="shared" si="121"/>
        <v>2</v>
      </c>
      <c r="AO227" s="318">
        <v>0</v>
      </c>
      <c r="AP227" s="318">
        <v>0</v>
      </c>
      <c r="AQ227" s="318">
        <v>2</v>
      </c>
      <c r="AR227" s="318">
        <v>0</v>
      </c>
      <c r="AS227" s="318">
        <v>0</v>
      </c>
      <c r="AT227" s="318">
        <v>2</v>
      </c>
      <c r="AU227" s="42">
        <f t="shared" si="122"/>
        <v>0</v>
      </c>
      <c r="AV227" s="318">
        <v>0</v>
      </c>
      <c r="AW227" s="318">
        <v>1380</v>
      </c>
      <c r="AX227" s="315"/>
      <c r="AY227" s="636"/>
      <c r="AZ227" s="319"/>
      <c r="BA227" s="319"/>
      <c r="BB227" s="318">
        <v>1</v>
      </c>
      <c r="BC227" s="9"/>
      <c r="BD227" s="9"/>
      <c r="BE227" s="50">
        <f t="shared" si="123"/>
        <v>0</v>
      </c>
      <c r="BF227" s="50">
        <f t="shared" si="124"/>
        <v>0</v>
      </c>
      <c r="BG227" s="50">
        <f t="shared" si="125"/>
        <v>6.733333333279</v>
      </c>
      <c r="BH227" s="50">
        <f t="shared" si="126"/>
        <v>2</v>
      </c>
      <c r="BI227" s="50">
        <f t="shared" si="127"/>
        <v>0</v>
      </c>
      <c r="BJ227" s="50">
        <f t="shared" si="128"/>
        <v>0</v>
      </c>
      <c r="BK227" s="50">
        <f t="shared" si="129"/>
        <v>0</v>
      </c>
      <c r="BL227" s="50">
        <f t="shared" si="130"/>
        <v>0</v>
      </c>
      <c r="BM227" s="50">
        <f t="shared" si="131"/>
        <v>6.733333333279</v>
      </c>
      <c r="BN227" s="50">
        <f t="shared" si="132"/>
        <v>2</v>
      </c>
      <c r="BO227" s="50">
        <f t="shared" si="133"/>
        <v>0</v>
      </c>
      <c r="BP227" s="50">
        <f t="shared" si="134"/>
        <v>0</v>
      </c>
      <c r="BQ227" s="4" t="str">
        <f t="shared" si="135"/>
        <v>16,33 2025.11.20</v>
      </c>
      <c r="BR227" s="4" t="str">
        <f t="shared" si="136"/>
        <v>19,55 2025.11.20</v>
      </c>
      <c r="BS227" s="4" t="str">
        <f t="shared" si="137"/>
        <v>П</v>
      </c>
      <c r="BT227" s="10">
        <f t="shared" si="138"/>
        <v>3.3666666666395</v>
      </c>
      <c r="BU227" s="42">
        <f t="shared" si="139"/>
        <v>2</v>
      </c>
      <c r="BV227" s="11">
        <f t="shared" si="140"/>
        <v>0</v>
      </c>
      <c r="BW227" s="11">
        <f t="shared" si="141"/>
        <v>0</v>
      </c>
      <c r="BX227" s="11">
        <f t="shared" si="142"/>
        <v>2</v>
      </c>
      <c r="BY227" s="11">
        <f t="shared" si="143"/>
        <v>0</v>
      </c>
      <c r="BZ227" s="11">
        <f t="shared" si="144"/>
        <v>0</v>
      </c>
      <c r="CA227" s="11">
        <f t="shared" si="145"/>
        <v>2</v>
      </c>
      <c r="CB227" s="42">
        <f t="shared" si="146"/>
        <v>0</v>
      </c>
      <c r="CC227" s="11">
        <f t="shared" si="147"/>
        <v>0</v>
      </c>
      <c r="CD227" s="11">
        <f t="shared" si="148"/>
        <v>1</v>
      </c>
      <c r="CE227" s="4"/>
      <c r="CF227" s="50">
        <f t="shared" si="149"/>
        <v>0</v>
      </c>
      <c r="CG227" s="50">
        <f t="shared" si="150"/>
        <v>0</v>
      </c>
      <c r="CH227" s="50">
        <f t="shared" si="151"/>
        <v>6.733333333279</v>
      </c>
      <c r="CI227" s="50">
        <f t="shared" si="152"/>
        <v>2</v>
      </c>
      <c r="CJ227" s="50">
        <f t="shared" si="153"/>
        <v>0</v>
      </c>
      <c r="CK227" s="50">
        <f t="shared" si="154"/>
        <v>0</v>
      </c>
      <c r="CL227" s="50">
        <f t="shared" si="155"/>
        <v>0</v>
      </c>
      <c r="CM227" s="50">
        <f t="shared" si="156"/>
        <v>0</v>
      </c>
      <c r="CN227" s="50">
        <f t="shared" si="157"/>
        <v>6.733333333279</v>
      </c>
      <c r="CO227" s="50">
        <f t="shared" si="158"/>
        <v>2</v>
      </c>
      <c r="CP227" s="50">
        <f t="shared" si="159"/>
        <v>0</v>
      </c>
      <c r="CQ227" s="50">
        <f t="shared" si="160"/>
        <v>0</v>
      </c>
      <c r="CR227"/>
    </row>
    <row r="228" spans="2:96" s="517" customFormat="1" ht="15.75" customHeight="1" x14ac:dyDescent="0.15">
      <c r="B228" s="59"/>
      <c r="D228" s="130">
        <v>21</v>
      </c>
      <c r="AA228" s="28" t="s">
        <v>701</v>
      </c>
      <c r="AB228" s="31" t="s">
        <v>1101</v>
      </c>
      <c r="AC228" s="247" t="s">
        <v>1445</v>
      </c>
      <c r="AD228" s="314" t="s">
        <v>110</v>
      </c>
      <c r="AE228" s="315" t="s">
        <v>2013</v>
      </c>
      <c r="AF228" s="316" t="s">
        <v>1432</v>
      </c>
      <c r="AG228" s="248" t="s">
        <v>2014</v>
      </c>
      <c r="AH228" s="248" t="s">
        <v>2015</v>
      </c>
      <c r="AI228" s="248" t="s">
        <v>100</v>
      </c>
      <c r="AJ228" s="317">
        <v>2.0000000000582099</v>
      </c>
      <c r="AK228" s="315" t="s">
        <v>2016</v>
      </c>
      <c r="AL228" s="315">
        <v>0</v>
      </c>
      <c r="AM228" s="315">
        <v>0</v>
      </c>
      <c r="AN228" s="42">
        <f t="shared" si="121"/>
        <v>2</v>
      </c>
      <c r="AO228" s="318">
        <v>0</v>
      </c>
      <c r="AP228" s="318">
        <v>0</v>
      </c>
      <c r="AQ228" s="318">
        <v>2</v>
      </c>
      <c r="AR228" s="318">
        <v>0</v>
      </c>
      <c r="AS228" s="318">
        <v>0</v>
      </c>
      <c r="AT228" s="318">
        <v>2</v>
      </c>
      <c r="AU228" s="42">
        <f t="shared" si="122"/>
        <v>0</v>
      </c>
      <c r="AV228" s="318">
        <v>0</v>
      </c>
      <c r="AW228" s="318">
        <v>230</v>
      </c>
      <c r="AX228" s="315"/>
      <c r="AY228" s="636"/>
      <c r="AZ228" s="319"/>
      <c r="BA228" s="319"/>
      <c r="BB228" s="318">
        <v>1</v>
      </c>
      <c r="BC228" s="9"/>
      <c r="BD228" s="9"/>
      <c r="BE228" s="50">
        <f t="shared" si="123"/>
        <v>0</v>
      </c>
      <c r="BF228" s="50">
        <f t="shared" si="124"/>
        <v>0</v>
      </c>
      <c r="BG228" s="50">
        <f t="shared" si="125"/>
        <v>4.0000000001164198</v>
      </c>
      <c r="BH228" s="50">
        <f t="shared" si="126"/>
        <v>2</v>
      </c>
      <c r="BI228" s="50">
        <f t="shared" si="127"/>
        <v>0</v>
      </c>
      <c r="BJ228" s="50">
        <f t="shared" si="128"/>
        <v>0</v>
      </c>
      <c r="BK228" s="50">
        <f t="shared" si="129"/>
        <v>0</v>
      </c>
      <c r="BL228" s="50">
        <f t="shared" si="130"/>
        <v>0</v>
      </c>
      <c r="BM228" s="50">
        <f t="shared" si="131"/>
        <v>4.0000000001164198</v>
      </c>
      <c r="BN228" s="50">
        <f t="shared" si="132"/>
        <v>2</v>
      </c>
      <c r="BO228" s="50">
        <f t="shared" si="133"/>
        <v>0</v>
      </c>
      <c r="BP228" s="50">
        <f t="shared" si="134"/>
        <v>0</v>
      </c>
      <c r="BQ228" s="4" t="str">
        <f t="shared" si="135"/>
        <v>15,42 2025.11.22</v>
      </c>
      <c r="BR228" s="4" t="str">
        <f t="shared" si="136"/>
        <v>17,42 2025.11.22</v>
      </c>
      <c r="BS228" s="4" t="str">
        <f t="shared" si="137"/>
        <v>П</v>
      </c>
      <c r="BT228" s="10">
        <f t="shared" si="138"/>
        <v>2.0000000000582099</v>
      </c>
      <c r="BU228" s="42">
        <f t="shared" si="139"/>
        <v>2</v>
      </c>
      <c r="BV228" s="11">
        <f t="shared" si="140"/>
        <v>0</v>
      </c>
      <c r="BW228" s="11">
        <f t="shared" si="141"/>
        <v>0</v>
      </c>
      <c r="BX228" s="11">
        <f t="shared" si="142"/>
        <v>2</v>
      </c>
      <c r="BY228" s="11">
        <f t="shared" si="143"/>
        <v>0</v>
      </c>
      <c r="BZ228" s="11">
        <f t="shared" si="144"/>
        <v>0</v>
      </c>
      <c r="CA228" s="11">
        <f t="shared" si="145"/>
        <v>2</v>
      </c>
      <c r="CB228" s="42">
        <f t="shared" si="146"/>
        <v>0</v>
      </c>
      <c r="CC228" s="11">
        <f t="shared" si="147"/>
        <v>0</v>
      </c>
      <c r="CD228" s="11">
        <f t="shared" si="148"/>
        <v>1</v>
      </c>
      <c r="CE228" s="4"/>
      <c r="CF228" s="50">
        <f t="shared" si="149"/>
        <v>0</v>
      </c>
      <c r="CG228" s="50">
        <f t="shared" si="150"/>
        <v>0</v>
      </c>
      <c r="CH228" s="50">
        <f t="shared" si="151"/>
        <v>4.0000000001164198</v>
      </c>
      <c r="CI228" s="50">
        <f t="shared" si="152"/>
        <v>2</v>
      </c>
      <c r="CJ228" s="50">
        <f t="shared" si="153"/>
        <v>0</v>
      </c>
      <c r="CK228" s="50">
        <f t="shared" si="154"/>
        <v>0</v>
      </c>
      <c r="CL228" s="50">
        <f t="shared" si="155"/>
        <v>0</v>
      </c>
      <c r="CM228" s="50">
        <f t="shared" si="156"/>
        <v>0</v>
      </c>
      <c r="CN228" s="50">
        <f t="shared" si="157"/>
        <v>4.0000000001164198</v>
      </c>
      <c r="CO228" s="50">
        <f t="shared" si="158"/>
        <v>2</v>
      </c>
      <c r="CP228" s="50">
        <f t="shared" si="159"/>
        <v>0</v>
      </c>
      <c r="CQ228" s="50">
        <f t="shared" si="160"/>
        <v>0</v>
      </c>
      <c r="CR228"/>
    </row>
    <row r="229" spans="2:96" s="518" customFormat="1" ht="15.75" customHeight="1" x14ac:dyDescent="0.15">
      <c r="B229" s="59"/>
      <c r="D229" s="130">
        <v>21</v>
      </c>
      <c r="AA229" s="28" t="s">
        <v>701</v>
      </c>
      <c r="AB229" s="31" t="s">
        <v>1102</v>
      </c>
      <c r="AC229" s="247" t="s">
        <v>1445</v>
      </c>
      <c r="AD229" s="314" t="s">
        <v>110</v>
      </c>
      <c r="AE229" s="315" t="s">
        <v>1913</v>
      </c>
      <c r="AF229" s="316" t="s">
        <v>1432</v>
      </c>
      <c r="AG229" s="248" t="s">
        <v>2017</v>
      </c>
      <c r="AH229" s="248" t="s">
        <v>2018</v>
      </c>
      <c r="AI229" s="248" t="s">
        <v>122</v>
      </c>
      <c r="AJ229" s="317">
        <v>1.96666666661622</v>
      </c>
      <c r="AK229" s="315" t="s">
        <v>1916</v>
      </c>
      <c r="AL229" s="315">
        <v>0</v>
      </c>
      <c r="AM229" s="315">
        <v>0</v>
      </c>
      <c r="AN229" s="42">
        <f t="shared" si="121"/>
        <v>1</v>
      </c>
      <c r="AO229" s="318">
        <v>0</v>
      </c>
      <c r="AP229" s="318">
        <v>0</v>
      </c>
      <c r="AQ229" s="318">
        <v>1</v>
      </c>
      <c r="AR229" s="318">
        <v>0</v>
      </c>
      <c r="AS229" s="318">
        <v>0</v>
      </c>
      <c r="AT229" s="318">
        <v>1</v>
      </c>
      <c r="AU229" s="42">
        <f t="shared" si="122"/>
        <v>0</v>
      </c>
      <c r="AV229" s="318">
        <v>0</v>
      </c>
      <c r="AW229" s="318">
        <v>997.63</v>
      </c>
      <c r="AX229" s="315"/>
      <c r="AY229" s="636" t="s">
        <v>2108</v>
      </c>
      <c r="AZ229" s="319" t="s">
        <v>194</v>
      </c>
      <c r="BA229" s="319" t="s">
        <v>2041</v>
      </c>
      <c r="BB229" s="318">
        <v>0</v>
      </c>
      <c r="BC229" s="9"/>
      <c r="BD229" s="9"/>
      <c r="BE229" s="50">
        <f t="shared" si="123"/>
        <v>0</v>
      </c>
      <c r="BF229" s="50">
        <f t="shared" si="124"/>
        <v>0</v>
      </c>
      <c r="BG229" s="50">
        <f t="shared" si="125"/>
        <v>0</v>
      </c>
      <c r="BH229" s="50">
        <f t="shared" si="126"/>
        <v>0</v>
      </c>
      <c r="BI229" s="50">
        <f t="shared" si="127"/>
        <v>0</v>
      </c>
      <c r="BJ229" s="50">
        <f t="shared" si="128"/>
        <v>0</v>
      </c>
      <c r="BK229" s="50">
        <f t="shared" si="129"/>
        <v>0</v>
      </c>
      <c r="BL229" s="50">
        <f t="shared" si="130"/>
        <v>0</v>
      </c>
      <c r="BM229" s="50">
        <f t="shared" si="131"/>
        <v>0</v>
      </c>
      <c r="BN229" s="50">
        <f t="shared" si="132"/>
        <v>0</v>
      </c>
      <c r="BO229" s="50">
        <f t="shared" si="133"/>
        <v>0</v>
      </c>
      <c r="BP229" s="50">
        <f t="shared" si="134"/>
        <v>0</v>
      </c>
      <c r="BQ229" s="4" t="str">
        <f t="shared" si="135"/>
        <v>08,58 2025.11.23</v>
      </c>
      <c r="BR229" s="4" t="str">
        <f t="shared" si="136"/>
        <v>10,56 2025.11.23</v>
      </c>
      <c r="BS229" s="4" t="str">
        <f t="shared" si="137"/>
        <v>В</v>
      </c>
      <c r="BT229" s="10">
        <f t="shared" si="138"/>
        <v>1.96666666661622</v>
      </c>
      <c r="BU229" s="42">
        <f t="shared" si="139"/>
        <v>1</v>
      </c>
      <c r="BV229" s="11">
        <f t="shared" si="140"/>
        <v>0</v>
      </c>
      <c r="BW229" s="11">
        <f t="shared" si="141"/>
        <v>0</v>
      </c>
      <c r="BX229" s="11">
        <f t="shared" si="142"/>
        <v>1</v>
      </c>
      <c r="BY229" s="11">
        <f t="shared" si="143"/>
        <v>0</v>
      </c>
      <c r="BZ229" s="11">
        <f t="shared" si="144"/>
        <v>0</v>
      </c>
      <c r="CA229" s="11">
        <f t="shared" si="145"/>
        <v>1</v>
      </c>
      <c r="CB229" s="42">
        <f t="shared" si="146"/>
        <v>0</v>
      </c>
      <c r="CC229" s="11">
        <f t="shared" si="147"/>
        <v>0</v>
      </c>
      <c r="CD229" s="11">
        <f t="shared" si="148"/>
        <v>0</v>
      </c>
      <c r="CE229" s="4"/>
      <c r="CF229" s="50">
        <f t="shared" si="149"/>
        <v>0</v>
      </c>
      <c r="CG229" s="50">
        <f t="shared" si="150"/>
        <v>0</v>
      </c>
      <c r="CH229" s="50">
        <f t="shared" si="151"/>
        <v>0</v>
      </c>
      <c r="CI229" s="50">
        <f t="shared" si="152"/>
        <v>0</v>
      </c>
      <c r="CJ229" s="50">
        <f t="shared" si="153"/>
        <v>0</v>
      </c>
      <c r="CK229" s="50">
        <f t="shared" si="154"/>
        <v>0</v>
      </c>
      <c r="CL229" s="50">
        <f t="shared" si="155"/>
        <v>0</v>
      </c>
      <c r="CM229" s="50">
        <f t="shared" si="156"/>
        <v>0</v>
      </c>
      <c r="CN229" s="50">
        <f t="shared" si="157"/>
        <v>0</v>
      </c>
      <c r="CO229" s="50">
        <f t="shared" si="158"/>
        <v>0</v>
      </c>
      <c r="CP229" s="50">
        <f t="shared" si="159"/>
        <v>0</v>
      </c>
      <c r="CQ229" s="50">
        <f t="shared" si="160"/>
        <v>0</v>
      </c>
      <c r="CR229"/>
    </row>
    <row r="230" spans="2:96" s="519" customFormat="1" ht="15.75" customHeight="1" x14ac:dyDescent="0.15">
      <c r="B230" s="59"/>
      <c r="D230" s="130">
        <v>21</v>
      </c>
      <c r="AA230" s="28" t="s">
        <v>701</v>
      </c>
      <c r="AB230" s="31" t="s">
        <v>1103</v>
      </c>
      <c r="AC230" s="247" t="s">
        <v>1430</v>
      </c>
      <c r="AD230" s="314" t="s">
        <v>110</v>
      </c>
      <c r="AE230" s="315" t="s">
        <v>2019</v>
      </c>
      <c r="AF230" s="316" t="s">
        <v>1432</v>
      </c>
      <c r="AG230" s="248" t="s">
        <v>2020</v>
      </c>
      <c r="AH230" s="248" t="s">
        <v>2021</v>
      </c>
      <c r="AI230" s="248" t="s">
        <v>100</v>
      </c>
      <c r="AJ230" s="317">
        <v>1.9500000000698501</v>
      </c>
      <c r="AK230" s="315" t="s">
        <v>2022</v>
      </c>
      <c r="AL230" s="315">
        <v>0</v>
      </c>
      <c r="AM230" s="315">
        <v>0</v>
      </c>
      <c r="AN230" s="42">
        <f t="shared" si="121"/>
        <v>1</v>
      </c>
      <c r="AO230" s="318">
        <v>0</v>
      </c>
      <c r="AP230" s="318">
        <v>0</v>
      </c>
      <c r="AQ230" s="318">
        <v>1</v>
      </c>
      <c r="AR230" s="318">
        <v>0</v>
      </c>
      <c r="AS230" s="318">
        <v>0</v>
      </c>
      <c r="AT230" s="318">
        <v>1</v>
      </c>
      <c r="AU230" s="42">
        <f t="shared" si="122"/>
        <v>0</v>
      </c>
      <c r="AV230" s="318">
        <v>0</v>
      </c>
      <c r="AW230" s="318">
        <v>430</v>
      </c>
      <c r="AX230" s="315"/>
      <c r="AY230" s="636"/>
      <c r="AZ230" s="319"/>
      <c r="BA230" s="319"/>
      <c r="BB230" s="318">
        <v>1</v>
      </c>
      <c r="BC230" s="9"/>
      <c r="BD230" s="9"/>
      <c r="BE230" s="50">
        <f t="shared" si="123"/>
        <v>0</v>
      </c>
      <c r="BF230" s="50">
        <f t="shared" si="124"/>
        <v>0</v>
      </c>
      <c r="BG230" s="50">
        <f t="shared" si="125"/>
        <v>1.9500000000698501</v>
      </c>
      <c r="BH230" s="50">
        <f t="shared" si="126"/>
        <v>1</v>
      </c>
      <c r="BI230" s="50">
        <f t="shared" si="127"/>
        <v>0</v>
      </c>
      <c r="BJ230" s="50">
        <f t="shared" si="128"/>
        <v>0</v>
      </c>
      <c r="BK230" s="50">
        <f t="shared" si="129"/>
        <v>0</v>
      </c>
      <c r="BL230" s="50">
        <f t="shared" si="130"/>
        <v>0</v>
      </c>
      <c r="BM230" s="50">
        <f t="shared" si="131"/>
        <v>1.9500000000698501</v>
      </c>
      <c r="BN230" s="50">
        <f t="shared" si="132"/>
        <v>1</v>
      </c>
      <c r="BO230" s="50">
        <f t="shared" si="133"/>
        <v>0</v>
      </c>
      <c r="BP230" s="50">
        <f t="shared" si="134"/>
        <v>0</v>
      </c>
      <c r="BQ230" s="4" t="str">
        <f t="shared" si="135"/>
        <v>09,50 2025.11.24</v>
      </c>
      <c r="BR230" s="4" t="str">
        <f t="shared" si="136"/>
        <v>11,47 2025.11.24</v>
      </c>
      <c r="BS230" s="4" t="str">
        <f t="shared" si="137"/>
        <v>П</v>
      </c>
      <c r="BT230" s="10">
        <f t="shared" si="138"/>
        <v>1.9500000000698501</v>
      </c>
      <c r="BU230" s="42">
        <f t="shared" si="139"/>
        <v>1</v>
      </c>
      <c r="BV230" s="11">
        <f t="shared" si="140"/>
        <v>0</v>
      </c>
      <c r="BW230" s="11">
        <f t="shared" si="141"/>
        <v>0</v>
      </c>
      <c r="BX230" s="11">
        <f t="shared" si="142"/>
        <v>1</v>
      </c>
      <c r="BY230" s="11">
        <f t="shared" si="143"/>
        <v>0</v>
      </c>
      <c r="BZ230" s="11">
        <f t="shared" si="144"/>
        <v>0</v>
      </c>
      <c r="CA230" s="11">
        <f t="shared" si="145"/>
        <v>1</v>
      </c>
      <c r="CB230" s="42">
        <f t="shared" si="146"/>
        <v>0</v>
      </c>
      <c r="CC230" s="11">
        <f t="shared" si="147"/>
        <v>0</v>
      </c>
      <c r="CD230" s="11">
        <f t="shared" si="148"/>
        <v>1</v>
      </c>
      <c r="CE230" s="4"/>
      <c r="CF230" s="50">
        <f t="shared" si="149"/>
        <v>0</v>
      </c>
      <c r="CG230" s="50">
        <f t="shared" si="150"/>
        <v>0</v>
      </c>
      <c r="CH230" s="50">
        <f t="shared" si="151"/>
        <v>1.9500000000698501</v>
      </c>
      <c r="CI230" s="50">
        <f t="shared" si="152"/>
        <v>1</v>
      </c>
      <c r="CJ230" s="50">
        <f t="shared" si="153"/>
        <v>0</v>
      </c>
      <c r="CK230" s="50">
        <f t="shared" si="154"/>
        <v>0</v>
      </c>
      <c r="CL230" s="50">
        <f t="shared" si="155"/>
        <v>0</v>
      </c>
      <c r="CM230" s="50">
        <f t="shared" si="156"/>
        <v>0</v>
      </c>
      <c r="CN230" s="50">
        <f t="shared" si="157"/>
        <v>1.9500000000698501</v>
      </c>
      <c r="CO230" s="50">
        <f t="shared" si="158"/>
        <v>1</v>
      </c>
      <c r="CP230" s="50">
        <f t="shared" si="159"/>
        <v>0</v>
      </c>
      <c r="CQ230" s="50">
        <f t="shared" si="160"/>
        <v>0</v>
      </c>
      <c r="CR230"/>
    </row>
    <row r="231" spans="2:96" s="520" customFormat="1" ht="15.75" customHeight="1" x14ac:dyDescent="0.15">
      <c r="B231" s="59"/>
      <c r="D231" s="130">
        <v>21</v>
      </c>
      <c r="AA231" s="28" t="s">
        <v>701</v>
      </c>
      <c r="AB231" s="31" t="s">
        <v>1104</v>
      </c>
      <c r="AC231" s="247" t="s">
        <v>1430</v>
      </c>
      <c r="AD231" s="314" t="s">
        <v>121</v>
      </c>
      <c r="AE231" s="315" t="s">
        <v>2023</v>
      </c>
      <c r="AF231" s="316" t="s">
        <v>1432</v>
      </c>
      <c r="AG231" s="248" t="s">
        <v>2024</v>
      </c>
      <c r="AH231" s="248" t="s">
        <v>2025</v>
      </c>
      <c r="AI231" s="248" t="s">
        <v>100</v>
      </c>
      <c r="AJ231" s="317">
        <v>5.7000000000698501</v>
      </c>
      <c r="AK231" s="315" t="s">
        <v>2026</v>
      </c>
      <c r="AL231" s="315">
        <v>0</v>
      </c>
      <c r="AM231" s="315">
        <v>0</v>
      </c>
      <c r="AN231" s="42">
        <f t="shared" si="121"/>
        <v>1</v>
      </c>
      <c r="AO231" s="318">
        <v>0</v>
      </c>
      <c r="AP231" s="318">
        <v>0</v>
      </c>
      <c r="AQ231" s="318">
        <v>1</v>
      </c>
      <c r="AR231" s="318">
        <v>0</v>
      </c>
      <c r="AS231" s="318">
        <v>0</v>
      </c>
      <c r="AT231" s="318">
        <v>1</v>
      </c>
      <c r="AU231" s="42">
        <f t="shared" si="122"/>
        <v>0</v>
      </c>
      <c r="AV231" s="318">
        <v>0</v>
      </c>
      <c r="AW231" s="318">
        <v>1030</v>
      </c>
      <c r="AX231" s="315"/>
      <c r="AY231" s="636"/>
      <c r="AZ231" s="319"/>
      <c r="BA231" s="319"/>
      <c r="BB231" s="318">
        <v>1</v>
      </c>
      <c r="BC231" s="9"/>
      <c r="BD231" s="9"/>
      <c r="BE231" s="50">
        <f t="shared" si="123"/>
        <v>0</v>
      </c>
      <c r="BF231" s="50">
        <f t="shared" si="124"/>
        <v>0</v>
      </c>
      <c r="BG231" s="50">
        <f t="shared" si="125"/>
        <v>5.7000000000698501</v>
      </c>
      <c r="BH231" s="50">
        <f t="shared" si="126"/>
        <v>1</v>
      </c>
      <c r="BI231" s="50">
        <f t="shared" si="127"/>
        <v>0</v>
      </c>
      <c r="BJ231" s="50">
        <f t="shared" si="128"/>
        <v>0</v>
      </c>
      <c r="BK231" s="50">
        <f t="shared" si="129"/>
        <v>0</v>
      </c>
      <c r="BL231" s="50">
        <f t="shared" si="130"/>
        <v>0</v>
      </c>
      <c r="BM231" s="50">
        <f t="shared" si="131"/>
        <v>5.7000000000698501</v>
      </c>
      <c r="BN231" s="50">
        <f t="shared" si="132"/>
        <v>1</v>
      </c>
      <c r="BO231" s="50">
        <f t="shared" si="133"/>
        <v>0</v>
      </c>
      <c r="BP231" s="50">
        <f t="shared" si="134"/>
        <v>0</v>
      </c>
      <c r="BQ231" s="4" t="str">
        <f t="shared" si="135"/>
        <v>11,15 2025.11.25</v>
      </c>
      <c r="BR231" s="4" t="str">
        <f t="shared" si="136"/>
        <v>16,57 2025.11.25</v>
      </c>
      <c r="BS231" s="4" t="str">
        <f t="shared" si="137"/>
        <v>П</v>
      </c>
      <c r="BT231" s="10">
        <f t="shared" si="138"/>
        <v>5.7000000000698501</v>
      </c>
      <c r="BU231" s="42">
        <f t="shared" si="139"/>
        <v>1</v>
      </c>
      <c r="BV231" s="11">
        <f t="shared" si="140"/>
        <v>0</v>
      </c>
      <c r="BW231" s="11">
        <f t="shared" si="141"/>
        <v>0</v>
      </c>
      <c r="BX231" s="11">
        <f t="shared" si="142"/>
        <v>1</v>
      </c>
      <c r="BY231" s="11">
        <f t="shared" si="143"/>
        <v>0</v>
      </c>
      <c r="BZ231" s="11">
        <f t="shared" si="144"/>
        <v>0</v>
      </c>
      <c r="CA231" s="11">
        <f t="shared" si="145"/>
        <v>1</v>
      </c>
      <c r="CB231" s="42">
        <f t="shared" si="146"/>
        <v>0</v>
      </c>
      <c r="CC231" s="11">
        <f t="shared" si="147"/>
        <v>0</v>
      </c>
      <c r="CD231" s="11">
        <f t="shared" si="148"/>
        <v>1</v>
      </c>
      <c r="CE231" s="4"/>
      <c r="CF231" s="50">
        <f t="shared" si="149"/>
        <v>0</v>
      </c>
      <c r="CG231" s="50">
        <f t="shared" si="150"/>
        <v>0</v>
      </c>
      <c r="CH231" s="50">
        <f t="shared" si="151"/>
        <v>5.7000000000698501</v>
      </c>
      <c r="CI231" s="50">
        <f t="shared" si="152"/>
        <v>1</v>
      </c>
      <c r="CJ231" s="50">
        <f t="shared" si="153"/>
        <v>0</v>
      </c>
      <c r="CK231" s="50">
        <f t="shared" si="154"/>
        <v>0</v>
      </c>
      <c r="CL231" s="50">
        <f t="shared" si="155"/>
        <v>0</v>
      </c>
      <c r="CM231" s="50">
        <f t="shared" si="156"/>
        <v>0</v>
      </c>
      <c r="CN231" s="50">
        <f t="shared" si="157"/>
        <v>5.7000000000698501</v>
      </c>
      <c r="CO231" s="50">
        <f t="shared" si="158"/>
        <v>1</v>
      </c>
      <c r="CP231" s="50">
        <f t="shared" si="159"/>
        <v>0</v>
      </c>
      <c r="CQ231" s="50">
        <f t="shared" si="160"/>
        <v>0</v>
      </c>
      <c r="CR231"/>
    </row>
    <row r="232" spans="2:96" s="521" customFormat="1" ht="15.75" customHeight="1" x14ac:dyDescent="0.15">
      <c r="B232" s="59"/>
      <c r="D232" s="130">
        <v>21</v>
      </c>
      <c r="AA232" s="28" t="s">
        <v>701</v>
      </c>
      <c r="AB232" s="31" t="s">
        <v>1105</v>
      </c>
      <c r="AC232" s="247" t="s">
        <v>1435</v>
      </c>
      <c r="AD232" s="314" t="s">
        <v>110</v>
      </c>
      <c r="AE232" s="315" t="s">
        <v>2027</v>
      </c>
      <c r="AF232" s="316" t="s">
        <v>1432</v>
      </c>
      <c r="AG232" s="248" t="s">
        <v>2028</v>
      </c>
      <c r="AH232" s="248" t="s">
        <v>2029</v>
      </c>
      <c r="AI232" s="248" t="s">
        <v>100</v>
      </c>
      <c r="AJ232" s="317">
        <v>6.0833333332557196</v>
      </c>
      <c r="AK232" s="315" t="s">
        <v>2030</v>
      </c>
      <c r="AL232" s="315">
        <v>0</v>
      </c>
      <c r="AM232" s="315">
        <v>0</v>
      </c>
      <c r="AN232" s="42">
        <f t="shared" si="121"/>
        <v>1</v>
      </c>
      <c r="AO232" s="318">
        <v>0</v>
      </c>
      <c r="AP232" s="318">
        <v>0</v>
      </c>
      <c r="AQ232" s="318">
        <v>1</v>
      </c>
      <c r="AR232" s="318">
        <v>0</v>
      </c>
      <c r="AS232" s="318">
        <v>0</v>
      </c>
      <c r="AT232" s="318">
        <v>1</v>
      </c>
      <c r="AU232" s="42">
        <f t="shared" si="122"/>
        <v>0</v>
      </c>
      <c r="AV232" s="318">
        <v>0</v>
      </c>
      <c r="AW232" s="318">
        <v>359</v>
      </c>
      <c r="AX232" s="315"/>
      <c r="AY232" s="636"/>
      <c r="AZ232" s="319"/>
      <c r="BA232" s="319"/>
      <c r="BB232" s="318">
        <v>1</v>
      </c>
      <c r="BC232" s="9"/>
      <c r="BD232" s="9"/>
      <c r="BE232" s="50">
        <f t="shared" si="123"/>
        <v>0</v>
      </c>
      <c r="BF232" s="50">
        <f t="shared" si="124"/>
        <v>0</v>
      </c>
      <c r="BG232" s="50">
        <f t="shared" si="125"/>
        <v>6.0833333332557196</v>
      </c>
      <c r="BH232" s="50">
        <f t="shared" si="126"/>
        <v>1</v>
      </c>
      <c r="BI232" s="50">
        <f t="shared" si="127"/>
        <v>0</v>
      </c>
      <c r="BJ232" s="50">
        <f t="shared" si="128"/>
        <v>0</v>
      </c>
      <c r="BK232" s="50">
        <f t="shared" si="129"/>
        <v>0</v>
      </c>
      <c r="BL232" s="50">
        <f t="shared" si="130"/>
        <v>0</v>
      </c>
      <c r="BM232" s="50">
        <f t="shared" si="131"/>
        <v>6.0833333332557196</v>
      </c>
      <c r="BN232" s="50">
        <f t="shared" si="132"/>
        <v>1</v>
      </c>
      <c r="BO232" s="50">
        <f t="shared" si="133"/>
        <v>0</v>
      </c>
      <c r="BP232" s="50">
        <f t="shared" si="134"/>
        <v>0</v>
      </c>
      <c r="BQ232" s="4" t="str">
        <f t="shared" si="135"/>
        <v>10,05 2025.12.05</v>
      </c>
      <c r="BR232" s="4" t="str">
        <f t="shared" si="136"/>
        <v>16,10 2025.12.05</v>
      </c>
      <c r="BS232" s="4" t="str">
        <f t="shared" si="137"/>
        <v>П</v>
      </c>
      <c r="BT232" s="10">
        <f t="shared" si="138"/>
        <v>6.0833333332557196</v>
      </c>
      <c r="BU232" s="42">
        <f t="shared" si="139"/>
        <v>1</v>
      </c>
      <c r="BV232" s="11">
        <f t="shared" si="140"/>
        <v>0</v>
      </c>
      <c r="BW232" s="11">
        <f t="shared" si="141"/>
        <v>0</v>
      </c>
      <c r="BX232" s="11">
        <f t="shared" si="142"/>
        <v>1</v>
      </c>
      <c r="BY232" s="11">
        <f t="shared" si="143"/>
        <v>0</v>
      </c>
      <c r="BZ232" s="11">
        <f t="shared" si="144"/>
        <v>0</v>
      </c>
      <c r="CA232" s="11">
        <f t="shared" si="145"/>
        <v>1</v>
      </c>
      <c r="CB232" s="42">
        <f t="shared" si="146"/>
        <v>0</v>
      </c>
      <c r="CC232" s="11">
        <f t="shared" si="147"/>
        <v>0</v>
      </c>
      <c r="CD232" s="11">
        <f t="shared" si="148"/>
        <v>1</v>
      </c>
      <c r="CE232" s="4"/>
      <c r="CF232" s="50">
        <f t="shared" si="149"/>
        <v>0</v>
      </c>
      <c r="CG232" s="50">
        <f t="shared" si="150"/>
        <v>0</v>
      </c>
      <c r="CH232" s="50">
        <f t="shared" si="151"/>
        <v>6.0833333332557196</v>
      </c>
      <c r="CI232" s="50">
        <f t="shared" si="152"/>
        <v>1</v>
      </c>
      <c r="CJ232" s="50">
        <f t="shared" si="153"/>
        <v>0</v>
      </c>
      <c r="CK232" s="50">
        <f t="shared" si="154"/>
        <v>0</v>
      </c>
      <c r="CL232" s="50">
        <f t="shared" si="155"/>
        <v>0</v>
      </c>
      <c r="CM232" s="50">
        <f t="shared" si="156"/>
        <v>0</v>
      </c>
      <c r="CN232" s="50">
        <f t="shared" si="157"/>
        <v>6.0833333332557196</v>
      </c>
      <c r="CO232" s="50">
        <f t="shared" si="158"/>
        <v>1</v>
      </c>
      <c r="CP232" s="50">
        <f t="shared" si="159"/>
        <v>0</v>
      </c>
      <c r="CQ232" s="50">
        <f t="shared" si="160"/>
        <v>0</v>
      </c>
      <c r="CR232"/>
    </row>
    <row r="233" spans="2:96" s="522" customFormat="1" ht="15.75" customHeight="1" x14ac:dyDescent="0.15">
      <c r="B233" s="59"/>
      <c r="D233" s="130">
        <v>21</v>
      </c>
      <c r="AA233" s="28" t="s">
        <v>701</v>
      </c>
      <c r="AB233" s="31" t="s">
        <v>1106</v>
      </c>
      <c r="AC233" s="247" t="s">
        <v>1430</v>
      </c>
      <c r="AD233" s="314" t="s">
        <v>110</v>
      </c>
      <c r="AE233" s="315" t="s">
        <v>1534</v>
      </c>
      <c r="AF233" s="316" t="s">
        <v>1432</v>
      </c>
      <c r="AG233" s="248" t="s">
        <v>2031</v>
      </c>
      <c r="AH233" s="248" t="s">
        <v>2032</v>
      </c>
      <c r="AI233" s="248" t="s">
        <v>100</v>
      </c>
      <c r="AJ233" s="317">
        <v>2.8666666665812999</v>
      </c>
      <c r="AK233" s="315" t="s">
        <v>1537</v>
      </c>
      <c r="AL233" s="315">
        <v>0</v>
      </c>
      <c r="AM233" s="315">
        <v>0</v>
      </c>
      <c r="AN233" s="42">
        <f t="shared" si="121"/>
        <v>1</v>
      </c>
      <c r="AO233" s="318">
        <v>0</v>
      </c>
      <c r="AP233" s="318">
        <v>0</v>
      </c>
      <c r="AQ233" s="318">
        <v>1</v>
      </c>
      <c r="AR233" s="318">
        <v>0</v>
      </c>
      <c r="AS233" s="318">
        <v>0</v>
      </c>
      <c r="AT233" s="318">
        <v>1</v>
      </c>
      <c r="AU233" s="42">
        <f t="shared" si="122"/>
        <v>0</v>
      </c>
      <c r="AV233" s="318">
        <v>0</v>
      </c>
      <c r="AW233" s="318">
        <v>299</v>
      </c>
      <c r="AX233" s="315"/>
      <c r="AY233" s="636"/>
      <c r="AZ233" s="319"/>
      <c r="BA233" s="319"/>
      <c r="BB233" s="318">
        <v>1</v>
      </c>
      <c r="BC233" s="9"/>
      <c r="BD233" s="9"/>
      <c r="BE233" s="50">
        <f t="shared" si="123"/>
        <v>0</v>
      </c>
      <c r="BF233" s="50">
        <f t="shared" si="124"/>
        <v>0</v>
      </c>
      <c r="BG233" s="50">
        <f t="shared" si="125"/>
        <v>2.8666666665812999</v>
      </c>
      <c r="BH233" s="50">
        <f t="shared" si="126"/>
        <v>1</v>
      </c>
      <c r="BI233" s="50">
        <f t="shared" si="127"/>
        <v>0</v>
      </c>
      <c r="BJ233" s="50">
        <f t="shared" si="128"/>
        <v>0</v>
      </c>
      <c r="BK233" s="50">
        <f t="shared" si="129"/>
        <v>0</v>
      </c>
      <c r="BL233" s="50">
        <f t="shared" si="130"/>
        <v>0</v>
      </c>
      <c r="BM233" s="50">
        <f t="shared" si="131"/>
        <v>2.8666666665812999</v>
      </c>
      <c r="BN233" s="50">
        <f t="shared" si="132"/>
        <v>1</v>
      </c>
      <c r="BO233" s="50">
        <f t="shared" si="133"/>
        <v>0</v>
      </c>
      <c r="BP233" s="50">
        <f t="shared" si="134"/>
        <v>0</v>
      </c>
      <c r="BQ233" s="4" t="str">
        <f t="shared" si="135"/>
        <v>10,02 2025.12.16</v>
      </c>
      <c r="BR233" s="4" t="str">
        <f t="shared" si="136"/>
        <v>12,54 2025.12.16</v>
      </c>
      <c r="BS233" s="4" t="str">
        <f t="shared" si="137"/>
        <v>П</v>
      </c>
      <c r="BT233" s="10">
        <f t="shared" si="138"/>
        <v>2.8666666665812999</v>
      </c>
      <c r="BU233" s="42">
        <f t="shared" si="139"/>
        <v>1</v>
      </c>
      <c r="BV233" s="11">
        <f t="shared" si="140"/>
        <v>0</v>
      </c>
      <c r="BW233" s="11">
        <f t="shared" si="141"/>
        <v>0</v>
      </c>
      <c r="BX233" s="11">
        <f t="shared" si="142"/>
        <v>1</v>
      </c>
      <c r="BY233" s="11">
        <f t="shared" si="143"/>
        <v>0</v>
      </c>
      <c r="BZ233" s="11">
        <f t="shared" si="144"/>
        <v>0</v>
      </c>
      <c r="CA233" s="11">
        <f t="shared" si="145"/>
        <v>1</v>
      </c>
      <c r="CB233" s="42">
        <f t="shared" si="146"/>
        <v>0</v>
      </c>
      <c r="CC233" s="11">
        <f t="shared" si="147"/>
        <v>0</v>
      </c>
      <c r="CD233" s="11">
        <f t="shared" si="148"/>
        <v>1</v>
      </c>
      <c r="CE233" s="4"/>
      <c r="CF233" s="50">
        <f t="shared" si="149"/>
        <v>0</v>
      </c>
      <c r="CG233" s="50">
        <f t="shared" si="150"/>
        <v>0</v>
      </c>
      <c r="CH233" s="50">
        <f t="shared" si="151"/>
        <v>2.8666666665812999</v>
      </c>
      <c r="CI233" s="50">
        <f t="shared" si="152"/>
        <v>1</v>
      </c>
      <c r="CJ233" s="50">
        <f t="shared" si="153"/>
        <v>0</v>
      </c>
      <c r="CK233" s="50">
        <f t="shared" si="154"/>
        <v>0</v>
      </c>
      <c r="CL233" s="50">
        <f t="shared" si="155"/>
        <v>0</v>
      </c>
      <c r="CM233" s="50">
        <f t="shared" si="156"/>
        <v>0</v>
      </c>
      <c r="CN233" s="50">
        <f t="shared" si="157"/>
        <v>2.8666666665812999</v>
      </c>
      <c r="CO233" s="50">
        <f t="shared" si="158"/>
        <v>1</v>
      </c>
      <c r="CP233" s="50">
        <f t="shared" si="159"/>
        <v>0</v>
      </c>
      <c r="CQ233" s="50">
        <f t="shared" si="160"/>
        <v>0</v>
      </c>
      <c r="CR233"/>
    </row>
    <row r="234" spans="2:96" s="523" customFormat="1" ht="15.75" customHeight="1" x14ac:dyDescent="0.15">
      <c r="B234" s="59"/>
      <c r="D234" s="130">
        <v>21</v>
      </c>
      <c r="AA234" s="28" t="s">
        <v>701</v>
      </c>
      <c r="AB234" s="31" t="s">
        <v>1107</v>
      </c>
      <c r="AC234" s="247" t="s">
        <v>1627</v>
      </c>
      <c r="AD234" s="314" t="s">
        <v>110</v>
      </c>
      <c r="AE234" s="315" t="s">
        <v>2033</v>
      </c>
      <c r="AF234" s="316" t="s">
        <v>1432</v>
      </c>
      <c r="AG234" s="248" t="s">
        <v>2034</v>
      </c>
      <c r="AH234" s="248" t="s">
        <v>2034</v>
      </c>
      <c r="AI234" s="248" t="s">
        <v>122</v>
      </c>
      <c r="AJ234" s="317">
        <v>0</v>
      </c>
      <c r="AK234" s="315" t="s">
        <v>2035</v>
      </c>
      <c r="AL234" s="315">
        <v>0</v>
      </c>
      <c r="AM234" s="315">
        <v>0</v>
      </c>
      <c r="AN234" s="42">
        <f t="shared" si="121"/>
        <v>1</v>
      </c>
      <c r="AO234" s="318">
        <v>0</v>
      </c>
      <c r="AP234" s="318">
        <v>0</v>
      </c>
      <c r="AQ234" s="318">
        <v>1</v>
      </c>
      <c r="AR234" s="318">
        <v>0</v>
      </c>
      <c r="AS234" s="318">
        <v>0</v>
      </c>
      <c r="AT234" s="318">
        <v>1</v>
      </c>
      <c r="AU234" s="42">
        <f t="shared" si="122"/>
        <v>0</v>
      </c>
      <c r="AV234" s="318">
        <v>0</v>
      </c>
      <c r="AW234" s="318">
        <v>870</v>
      </c>
      <c r="AX234" s="315"/>
      <c r="AY234" s="636" t="s">
        <v>2109</v>
      </c>
      <c r="AZ234" s="319" t="s">
        <v>203</v>
      </c>
      <c r="BA234" s="319" t="s">
        <v>2041</v>
      </c>
      <c r="BB234" s="318">
        <v>0</v>
      </c>
      <c r="BC234" s="9"/>
      <c r="BD234" s="9"/>
      <c r="BE234" s="50">
        <f t="shared" si="123"/>
        <v>0</v>
      </c>
      <c r="BF234" s="50">
        <f t="shared" si="124"/>
        <v>0</v>
      </c>
      <c r="BG234" s="50">
        <f t="shared" si="125"/>
        <v>0</v>
      </c>
      <c r="BH234" s="50">
        <f t="shared" si="126"/>
        <v>0</v>
      </c>
      <c r="BI234" s="50">
        <f t="shared" si="127"/>
        <v>0</v>
      </c>
      <c r="BJ234" s="50">
        <f t="shared" si="128"/>
        <v>0</v>
      </c>
      <c r="BK234" s="50">
        <f t="shared" si="129"/>
        <v>0</v>
      </c>
      <c r="BL234" s="50">
        <f t="shared" si="130"/>
        <v>0</v>
      </c>
      <c r="BM234" s="50">
        <f t="shared" si="131"/>
        <v>0</v>
      </c>
      <c r="BN234" s="50">
        <f t="shared" si="132"/>
        <v>0</v>
      </c>
      <c r="BO234" s="50">
        <f t="shared" si="133"/>
        <v>0</v>
      </c>
      <c r="BP234" s="50">
        <f t="shared" si="134"/>
        <v>0</v>
      </c>
      <c r="BQ234" s="4" t="str">
        <f t="shared" si="135"/>
        <v>11,16 2025.12.25</v>
      </c>
      <c r="BR234" s="4" t="str">
        <f t="shared" si="136"/>
        <v>11,16 2025.12.25</v>
      </c>
      <c r="BS234" s="4" t="str">
        <f t="shared" si="137"/>
        <v>В</v>
      </c>
      <c r="BT234" s="10">
        <f t="shared" si="138"/>
        <v>0</v>
      </c>
      <c r="BU234" s="42">
        <f t="shared" si="139"/>
        <v>1</v>
      </c>
      <c r="BV234" s="11">
        <f t="shared" si="140"/>
        <v>0</v>
      </c>
      <c r="BW234" s="11">
        <f t="shared" si="141"/>
        <v>0</v>
      </c>
      <c r="BX234" s="11">
        <f t="shared" si="142"/>
        <v>1</v>
      </c>
      <c r="BY234" s="11">
        <f t="shared" si="143"/>
        <v>0</v>
      </c>
      <c r="BZ234" s="11">
        <f t="shared" si="144"/>
        <v>0</v>
      </c>
      <c r="CA234" s="11">
        <f t="shared" si="145"/>
        <v>1</v>
      </c>
      <c r="CB234" s="42">
        <f t="shared" si="146"/>
        <v>0</v>
      </c>
      <c r="CC234" s="11">
        <f t="shared" si="147"/>
        <v>0</v>
      </c>
      <c r="CD234" s="11">
        <f t="shared" si="148"/>
        <v>0</v>
      </c>
      <c r="CE234" s="4"/>
      <c r="CF234" s="50">
        <f t="shared" si="149"/>
        <v>0</v>
      </c>
      <c r="CG234" s="50">
        <f t="shared" si="150"/>
        <v>0</v>
      </c>
      <c r="CH234" s="50">
        <f t="shared" si="151"/>
        <v>0</v>
      </c>
      <c r="CI234" s="50">
        <f t="shared" si="152"/>
        <v>0</v>
      </c>
      <c r="CJ234" s="50">
        <f t="shared" si="153"/>
        <v>0</v>
      </c>
      <c r="CK234" s="50">
        <f t="shared" si="154"/>
        <v>0</v>
      </c>
      <c r="CL234" s="50">
        <f t="shared" si="155"/>
        <v>0</v>
      </c>
      <c r="CM234" s="50">
        <f t="shared" si="156"/>
        <v>0</v>
      </c>
      <c r="CN234" s="50">
        <f t="shared" si="157"/>
        <v>0</v>
      </c>
      <c r="CO234" s="50">
        <f t="shared" si="158"/>
        <v>0</v>
      </c>
      <c r="CP234" s="50">
        <f t="shared" si="159"/>
        <v>0</v>
      </c>
      <c r="CQ234" s="50">
        <f t="shared" si="160"/>
        <v>0</v>
      </c>
      <c r="CR234"/>
    </row>
    <row r="235" spans="2:96" s="524" customFormat="1" ht="15.75" customHeight="1" x14ac:dyDescent="0.15">
      <c r="B235" s="59"/>
      <c r="D235" s="130">
        <v>21</v>
      </c>
      <c r="AA235" s="28" t="s">
        <v>701</v>
      </c>
      <c r="AB235" s="31" t="s">
        <v>1108</v>
      </c>
      <c r="AC235" s="247" t="s">
        <v>1627</v>
      </c>
      <c r="AD235" s="314" t="s">
        <v>110</v>
      </c>
      <c r="AE235" s="315" t="s">
        <v>2036</v>
      </c>
      <c r="AF235" s="316" t="s">
        <v>1432</v>
      </c>
      <c r="AG235" s="248" t="s">
        <v>2034</v>
      </c>
      <c r="AH235" s="248" t="s">
        <v>2034</v>
      </c>
      <c r="AI235" s="248" t="s">
        <v>122</v>
      </c>
      <c r="AJ235" s="317">
        <v>0</v>
      </c>
      <c r="AK235" s="315" t="s">
        <v>2037</v>
      </c>
      <c r="AL235" s="315">
        <v>0</v>
      </c>
      <c r="AM235" s="315">
        <v>0</v>
      </c>
      <c r="AN235" s="42">
        <f t="shared" si="121"/>
        <v>1</v>
      </c>
      <c r="AO235" s="318">
        <v>0</v>
      </c>
      <c r="AP235" s="318">
        <v>0</v>
      </c>
      <c r="AQ235" s="318">
        <v>1</v>
      </c>
      <c r="AR235" s="318">
        <v>0</v>
      </c>
      <c r="AS235" s="318">
        <v>0</v>
      </c>
      <c r="AT235" s="318">
        <v>1</v>
      </c>
      <c r="AU235" s="42">
        <f t="shared" si="122"/>
        <v>0</v>
      </c>
      <c r="AV235" s="318">
        <v>0</v>
      </c>
      <c r="AW235" s="318">
        <v>616</v>
      </c>
      <c r="AX235" s="315"/>
      <c r="AY235" s="636" t="s">
        <v>2109</v>
      </c>
      <c r="AZ235" s="319" t="s">
        <v>203</v>
      </c>
      <c r="BA235" s="319" t="s">
        <v>2041</v>
      </c>
      <c r="BB235" s="318">
        <v>0</v>
      </c>
      <c r="BC235" s="9"/>
      <c r="BD235" s="9"/>
      <c r="BE235" s="50">
        <f t="shared" si="123"/>
        <v>0</v>
      </c>
      <c r="BF235" s="50">
        <f t="shared" si="124"/>
        <v>0</v>
      </c>
      <c r="BG235" s="50">
        <f t="shared" si="125"/>
        <v>0</v>
      </c>
      <c r="BH235" s="50">
        <f t="shared" si="126"/>
        <v>0</v>
      </c>
      <c r="BI235" s="50">
        <f t="shared" si="127"/>
        <v>0</v>
      </c>
      <c r="BJ235" s="50">
        <f t="shared" si="128"/>
        <v>0</v>
      </c>
      <c r="BK235" s="50">
        <f t="shared" si="129"/>
        <v>0</v>
      </c>
      <c r="BL235" s="50">
        <f t="shared" si="130"/>
        <v>0</v>
      </c>
      <c r="BM235" s="50">
        <f t="shared" si="131"/>
        <v>0</v>
      </c>
      <c r="BN235" s="50">
        <f t="shared" si="132"/>
        <v>0</v>
      </c>
      <c r="BO235" s="50">
        <f t="shared" si="133"/>
        <v>0</v>
      </c>
      <c r="BP235" s="50">
        <f t="shared" si="134"/>
        <v>0</v>
      </c>
      <c r="BQ235" s="4" t="str">
        <f t="shared" si="135"/>
        <v>11,16 2025.12.25</v>
      </c>
      <c r="BR235" s="4" t="str">
        <f t="shared" si="136"/>
        <v>11,16 2025.12.25</v>
      </c>
      <c r="BS235" s="4" t="str">
        <f t="shared" si="137"/>
        <v>В</v>
      </c>
      <c r="BT235" s="10">
        <f t="shared" si="138"/>
        <v>0</v>
      </c>
      <c r="BU235" s="42">
        <f t="shared" si="139"/>
        <v>1</v>
      </c>
      <c r="BV235" s="11">
        <f t="shared" si="140"/>
        <v>0</v>
      </c>
      <c r="BW235" s="11">
        <f t="shared" si="141"/>
        <v>0</v>
      </c>
      <c r="BX235" s="11">
        <f t="shared" si="142"/>
        <v>1</v>
      </c>
      <c r="BY235" s="11">
        <f t="shared" si="143"/>
        <v>0</v>
      </c>
      <c r="BZ235" s="11">
        <f t="shared" si="144"/>
        <v>0</v>
      </c>
      <c r="CA235" s="11">
        <f t="shared" si="145"/>
        <v>1</v>
      </c>
      <c r="CB235" s="42">
        <f t="shared" si="146"/>
        <v>0</v>
      </c>
      <c r="CC235" s="11">
        <f t="shared" si="147"/>
        <v>0</v>
      </c>
      <c r="CD235" s="11">
        <f t="shared" si="148"/>
        <v>0</v>
      </c>
      <c r="CE235" s="4"/>
      <c r="CF235" s="50">
        <f t="shared" si="149"/>
        <v>0</v>
      </c>
      <c r="CG235" s="50">
        <f t="shared" si="150"/>
        <v>0</v>
      </c>
      <c r="CH235" s="50">
        <f t="shared" si="151"/>
        <v>0</v>
      </c>
      <c r="CI235" s="50">
        <f t="shared" si="152"/>
        <v>0</v>
      </c>
      <c r="CJ235" s="50">
        <f t="shared" si="153"/>
        <v>0</v>
      </c>
      <c r="CK235" s="50">
        <f t="shared" si="154"/>
        <v>0</v>
      </c>
      <c r="CL235" s="50">
        <f t="shared" si="155"/>
        <v>0</v>
      </c>
      <c r="CM235" s="50">
        <f t="shared" si="156"/>
        <v>0</v>
      </c>
      <c r="CN235" s="50">
        <f t="shared" si="157"/>
        <v>0</v>
      </c>
      <c r="CO235" s="50">
        <f t="shared" si="158"/>
        <v>0</v>
      </c>
      <c r="CP235" s="50">
        <f t="shared" si="159"/>
        <v>0</v>
      </c>
      <c r="CQ235" s="50">
        <f t="shared" si="160"/>
        <v>0</v>
      </c>
      <c r="CR235"/>
    </row>
    <row r="236" spans="2:96" s="525" customFormat="1" ht="15.75" customHeight="1" x14ac:dyDescent="0.15">
      <c r="B236" s="59"/>
      <c r="D236" s="130">
        <v>21</v>
      </c>
      <c r="AA236" s="28" t="s">
        <v>701</v>
      </c>
      <c r="AB236" s="31" t="s">
        <v>1109</v>
      </c>
      <c r="AC236" s="247" t="s">
        <v>1627</v>
      </c>
      <c r="AD236" s="314" t="s">
        <v>110</v>
      </c>
      <c r="AE236" s="315" t="s">
        <v>2033</v>
      </c>
      <c r="AF236" s="316" t="s">
        <v>1432</v>
      </c>
      <c r="AG236" s="248" t="s">
        <v>2038</v>
      </c>
      <c r="AH236" s="248" t="s">
        <v>2039</v>
      </c>
      <c r="AI236" s="248" t="s">
        <v>122</v>
      </c>
      <c r="AJ236" s="317">
        <v>10.450000000011601</v>
      </c>
      <c r="AK236" s="315" t="s">
        <v>2035</v>
      </c>
      <c r="AL236" s="315">
        <v>0</v>
      </c>
      <c r="AM236" s="315">
        <v>0</v>
      </c>
      <c r="AN236" s="42">
        <f t="shared" si="121"/>
        <v>1</v>
      </c>
      <c r="AO236" s="318">
        <v>0</v>
      </c>
      <c r="AP236" s="318">
        <v>0</v>
      </c>
      <c r="AQ236" s="318">
        <v>1</v>
      </c>
      <c r="AR236" s="318">
        <v>0</v>
      </c>
      <c r="AS236" s="318">
        <v>0</v>
      </c>
      <c r="AT236" s="318">
        <v>1</v>
      </c>
      <c r="AU236" s="42">
        <f t="shared" si="122"/>
        <v>0</v>
      </c>
      <c r="AV236" s="318">
        <v>0</v>
      </c>
      <c r="AW236" s="318">
        <v>870</v>
      </c>
      <c r="AX236" s="315"/>
      <c r="AY236" s="636" t="s">
        <v>2109</v>
      </c>
      <c r="AZ236" s="319" t="s">
        <v>203</v>
      </c>
      <c r="BA236" s="319" t="s">
        <v>2041</v>
      </c>
      <c r="BB236" s="318">
        <v>1</v>
      </c>
      <c r="BC236" s="9"/>
      <c r="BD236" s="9"/>
      <c r="BE236" s="50">
        <f t="shared" si="123"/>
        <v>0</v>
      </c>
      <c r="BF236" s="50">
        <f t="shared" si="124"/>
        <v>0</v>
      </c>
      <c r="BG236" s="50">
        <f t="shared" si="125"/>
        <v>0</v>
      </c>
      <c r="BH236" s="50">
        <f t="shared" si="126"/>
        <v>0</v>
      </c>
      <c r="BI236" s="50">
        <f t="shared" si="127"/>
        <v>0</v>
      </c>
      <c r="BJ236" s="50">
        <f t="shared" si="128"/>
        <v>0</v>
      </c>
      <c r="BK236" s="50">
        <f t="shared" si="129"/>
        <v>0</v>
      </c>
      <c r="BL236" s="50">
        <f t="shared" si="130"/>
        <v>0</v>
      </c>
      <c r="BM236" s="50">
        <f t="shared" si="131"/>
        <v>0</v>
      </c>
      <c r="BN236" s="50">
        <f t="shared" si="132"/>
        <v>0</v>
      </c>
      <c r="BO236" s="50">
        <f t="shared" si="133"/>
        <v>0</v>
      </c>
      <c r="BP236" s="50">
        <f t="shared" si="134"/>
        <v>0</v>
      </c>
      <c r="BQ236" s="4" t="str">
        <f t="shared" si="135"/>
        <v>00,41 2025.12.31</v>
      </c>
      <c r="BR236" s="4" t="str">
        <f t="shared" si="136"/>
        <v>11,08 2025.12.31</v>
      </c>
      <c r="BS236" s="4" t="str">
        <f t="shared" si="137"/>
        <v>В</v>
      </c>
      <c r="BT236" s="10">
        <f t="shared" si="138"/>
        <v>10.450000000011601</v>
      </c>
      <c r="BU236" s="42">
        <f t="shared" si="139"/>
        <v>1</v>
      </c>
      <c r="BV236" s="11">
        <f t="shared" si="140"/>
        <v>0</v>
      </c>
      <c r="BW236" s="11">
        <f t="shared" si="141"/>
        <v>0</v>
      </c>
      <c r="BX236" s="11">
        <f t="shared" si="142"/>
        <v>1</v>
      </c>
      <c r="BY236" s="11">
        <f t="shared" si="143"/>
        <v>0</v>
      </c>
      <c r="BZ236" s="11">
        <f t="shared" si="144"/>
        <v>0</v>
      </c>
      <c r="CA236" s="11">
        <f t="shared" si="145"/>
        <v>1</v>
      </c>
      <c r="CB236" s="42">
        <f t="shared" si="146"/>
        <v>0</v>
      </c>
      <c r="CC236" s="11">
        <f t="shared" si="147"/>
        <v>0</v>
      </c>
      <c r="CD236" s="11">
        <f t="shared" si="148"/>
        <v>1</v>
      </c>
      <c r="CE236" s="4"/>
      <c r="CF236" s="50">
        <f t="shared" si="149"/>
        <v>0</v>
      </c>
      <c r="CG236" s="50">
        <f t="shared" si="150"/>
        <v>0</v>
      </c>
      <c r="CH236" s="50">
        <f t="shared" si="151"/>
        <v>0</v>
      </c>
      <c r="CI236" s="50">
        <f t="shared" si="152"/>
        <v>0</v>
      </c>
      <c r="CJ236" s="50">
        <f t="shared" si="153"/>
        <v>0</v>
      </c>
      <c r="CK236" s="50">
        <f t="shared" si="154"/>
        <v>0</v>
      </c>
      <c r="CL236" s="50">
        <f t="shared" si="155"/>
        <v>0</v>
      </c>
      <c r="CM236" s="50">
        <f t="shared" si="156"/>
        <v>0</v>
      </c>
      <c r="CN236" s="50">
        <f t="shared" si="157"/>
        <v>0</v>
      </c>
      <c r="CO236" s="50">
        <f t="shared" si="158"/>
        <v>0</v>
      </c>
      <c r="CP236" s="50">
        <f t="shared" si="159"/>
        <v>0</v>
      </c>
      <c r="CQ236" s="50">
        <f t="shared" si="160"/>
        <v>0</v>
      </c>
      <c r="CR236"/>
    </row>
    <row r="237" spans="2:96" ht="15.75" customHeight="1" x14ac:dyDescent="0.15">
      <c r="D237" s="130">
        <v>21</v>
      </c>
      <c r="AB237" s="526"/>
      <c r="AC237" s="527" t="s">
        <v>1110</v>
      </c>
      <c r="AD237" s="528"/>
      <c r="AE237" s="528"/>
      <c r="AF237" s="528"/>
      <c r="AG237" s="528"/>
      <c r="AH237" s="528"/>
      <c r="AI237" s="528"/>
      <c r="AJ237" s="528"/>
      <c r="AK237" s="528"/>
      <c r="AL237" s="528"/>
      <c r="AM237" s="528"/>
      <c r="AN237" s="69"/>
      <c r="AO237" s="528"/>
      <c r="AP237" s="528"/>
      <c r="AQ237" s="528"/>
      <c r="AR237" s="528"/>
      <c r="AS237" s="528"/>
      <c r="AT237" s="528"/>
      <c r="AU237" s="528"/>
      <c r="AV237" s="528"/>
      <c r="AW237" s="528"/>
      <c r="AX237" s="528"/>
      <c r="AY237" s="528"/>
      <c r="AZ237" s="528"/>
      <c r="BA237" s="528"/>
      <c r="BB237" s="528"/>
      <c r="BC237" s="528"/>
      <c r="BD237" s="529"/>
      <c r="BQ237" s="530"/>
      <c r="BR237" s="528"/>
      <c r="BS237" s="528"/>
      <c r="BT237" s="528"/>
      <c r="BU237" s="69"/>
      <c r="BV237" s="528"/>
      <c r="BW237" s="528"/>
      <c r="BX237" s="528"/>
      <c r="BY237" s="528"/>
      <c r="BZ237" s="528"/>
      <c r="CA237" s="528"/>
      <c r="CB237" s="528"/>
      <c r="CC237" s="528"/>
      <c r="CD237" s="528"/>
      <c r="CE237" s="529"/>
    </row>
    <row r="238" spans="2:96" ht="35.25" customHeight="1" x14ac:dyDescent="0.15">
      <c r="D238" s="130">
        <v>47</v>
      </c>
      <c r="AB238" s="31">
        <v>2</v>
      </c>
      <c r="AC238" s="692" t="s">
        <v>1111</v>
      </c>
      <c r="AD238" s="663"/>
      <c r="AE238" s="663"/>
      <c r="AF238" s="663"/>
      <c r="AG238" s="663"/>
      <c r="AH238" s="693"/>
      <c r="AI238" s="31" t="s">
        <v>1112</v>
      </c>
      <c r="AJ238" s="54">
        <f>SUM(AJ239:AJ241)</f>
        <v>515.74999999988347</v>
      </c>
      <c r="AK238" s="46"/>
      <c r="AL238" s="46"/>
      <c r="AM238" s="46"/>
      <c r="AN238" s="42">
        <f t="shared" ref="AN238:AW238" si="161">SUM(AN239:AN241)</f>
        <v>1529</v>
      </c>
      <c r="AO238" s="42">
        <f t="shared" si="161"/>
        <v>0</v>
      </c>
      <c r="AP238" s="42">
        <f t="shared" si="161"/>
        <v>22</v>
      </c>
      <c r="AQ238" s="42">
        <f t="shared" si="161"/>
        <v>1507</v>
      </c>
      <c r="AR238" s="42">
        <f t="shared" si="161"/>
        <v>1</v>
      </c>
      <c r="AS238" s="42">
        <f t="shared" si="161"/>
        <v>2</v>
      </c>
      <c r="AT238" s="42">
        <f t="shared" si="161"/>
        <v>1521</v>
      </c>
      <c r="AU238" s="42">
        <f t="shared" si="161"/>
        <v>5</v>
      </c>
      <c r="AV238" s="42">
        <f t="shared" si="161"/>
        <v>0</v>
      </c>
      <c r="AW238" s="54">
        <f t="shared" si="161"/>
        <v>127472.63</v>
      </c>
      <c r="AX238" s="46"/>
      <c r="AY238" s="46"/>
      <c r="AZ238" s="46"/>
      <c r="BA238" s="46"/>
      <c r="BB238" s="46"/>
      <c r="BC238" s="46"/>
      <c r="BD238" s="46"/>
      <c r="BQ238" s="31"/>
      <c r="BR238" s="31"/>
      <c r="BS238" s="31"/>
      <c r="BT238" s="54">
        <f t="shared" ref="BT238:CC238" si="162">SUM(BT239:BT241)</f>
        <v>0</v>
      </c>
      <c r="BU238" s="42">
        <f t="shared" si="162"/>
        <v>0</v>
      </c>
      <c r="BV238" s="42">
        <f t="shared" si="162"/>
        <v>0</v>
      </c>
      <c r="BW238" s="42">
        <f t="shared" si="162"/>
        <v>0</v>
      </c>
      <c r="BX238" s="42">
        <f t="shared" si="162"/>
        <v>0</v>
      </c>
      <c r="BY238" s="42">
        <f t="shared" si="162"/>
        <v>0</v>
      </c>
      <c r="BZ238" s="42">
        <f t="shared" si="162"/>
        <v>0</v>
      </c>
      <c r="CA238" s="42">
        <f t="shared" si="162"/>
        <v>0</v>
      </c>
      <c r="CB238" s="42">
        <f t="shared" si="162"/>
        <v>0</v>
      </c>
      <c r="CC238" s="42">
        <f t="shared" si="162"/>
        <v>0</v>
      </c>
      <c r="CD238" s="46"/>
      <c r="CE238" s="31"/>
    </row>
    <row r="239" spans="2:96" ht="36" customHeight="1" x14ac:dyDescent="0.15">
      <c r="D239" s="130">
        <v>48</v>
      </c>
      <c r="AB239" s="31" t="s">
        <v>739</v>
      </c>
      <c r="AC239" s="692" t="s">
        <v>1113</v>
      </c>
      <c r="AD239" s="663"/>
      <c r="AE239" s="663"/>
      <c r="AF239" s="663"/>
      <c r="AG239" s="663"/>
      <c r="AH239" s="693"/>
      <c r="AI239" s="31" t="s">
        <v>100</v>
      </c>
      <c r="AJ239" s="54">
        <f>SUMIF($AI$29:$AI$237,$AI239,AJ$29:AJ$237)</f>
        <v>468.35000000044232</v>
      </c>
      <c r="AK239" s="46"/>
      <c r="AL239" s="46"/>
      <c r="AM239" s="46"/>
      <c r="AN239" s="42">
        <f t="shared" ref="AN239:AW241" si="163">SUMIF($AI$29:$AI$237,$AI239,AN$29:AN$237)</f>
        <v>182</v>
      </c>
      <c r="AO239" s="42">
        <f t="shared" si="163"/>
        <v>0</v>
      </c>
      <c r="AP239" s="42">
        <f t="shared" si="163"/>
        <v>0</v>
      </c>
      <c r="AQ239" s="42">
        <f t="shared" si="163"/>
        <v>182</v>
      </c>
      <c r="AR239" s="42">
        <f t="shared" si="163"/>
        <v>0</v>
      </c>
      <c r="AS239" s="42">
        <f t="shared" si="163"/>
        <v>0</v>
      </c>
      <c r="AT239" s="42">
        <f t="shared" si="163"/>
        <v>182</v>
      </c>
      <c r="AU239" s="42">
        <f t="shared" si="163"/>
        <v>0</v>
      </c>
      <c r="AV239" s="42">
        <f t="shared" si="163"/>
        <v>0</v>
      </c>
      <c r="AW239" s="54">
        <f t="shared" si="163"/>
        <v>60337</v>
      </c>
      <c r="AX239" s="46"/>
      <c r="AY239" s="46"/>
      <c r="AZ239" s="46"/>
      <c r="BA239" s="46"/>
      <c r="BB239" s="46"/>
      <c r="BC239" s="46"/>
      <c r="BD239" s="46"/>
      <c r="BQ239" s="31"/>
      <c r="BR239" s="31"/>
      <c r="BS239" s="31"/>
      <c r="BT239" s="54">
        <f t="shared" ref="BT239:CC241" si="164">SUMIF($BS$29:$BS$237,$BS239,BT$29:BT$237)</f>
        <v>0</v>
      </c>
      <c r="BU239" s="42">
        <f t="shared" si="164"/>
        <v>0</v>
      </c>
      <c r="BV239" s="42">
        <f t="shared" si="164"/>
        <v>0</v>
      </c>
      <c r="BW239" s="42">
        <f t="shared" si="164"/>
        <v>0</v>
      </c>
      <c r="BX239" s="42">
        <f t="shared" si="164"/>
        <v>0</v>
      </c>
      <c r="BY239" s="42">
        <f t="shared" si="164"/>
        <v>0</v>
      </c>
      <c r="BZ239" s="42">
        <f t="shared" si="164"/>
        <v>0</v>
      </c>
      <c r="CA239" s="42">
        <f t="shared" si="164"/>
        <v>0</v>
      </c>
      <c r="CB239" s="42">
        <f t="shared" si="164"/>
        <v>0</v>
      </c>
      <c r="CC239" s="42">
        <f t="shared" si="164"/>
        <v>0</v>
      </c>
      <c r="CD239" s="46"/>
      <c r="CE239" s="31"/>
    </row>
    <row r="240" spans="2:96" ht="15.75" customHeight="1" x14ac:dyDescent="0.15">
      <c r="D240" s="130">
        <v>21</v>
      </c>
      <c r="AB240" s="31" t="s">
        <v>741</v>
      </c>
      <c r="AC240" s="692" t="s">
        <v>1114</v>
      </c>
      <c r="AD240" s="663"/>
      <c r="AE240" s="663"/>
      <c r="AF240" s="663"/>
      <c r="AG240" s="663"/>
      <c r="AH240" s="693"/>
      <c r="AI240" s="31" t="s">
        <v>111</v>
      </c>
      <c r="AJ240" s="54">
        <f>SUMIF($AI$29:$AI$237,$AI240,AJ$29:AJ$237)</f>
        <v>0</v>
      </c>
      <c r="AK240" s="46"/>
      <c r="AL240" s="46"/>
      <c r="AM240" s="46"/>
      <c r="AN240" s="42">
        <f t="shared" si="163"/>
        <v>0</v>
      </c>
      <c r="AO240" s="42">
        <f t="shared" si="163"/>
        <v>0</v>
      </c>
      <c r="AP240" s="42">
        <f t="shared" si="163"/>
        <v>0</v>
      </c>
      <c r="AQ240" s="42">
        <f t="shared" si="163"/>
        <v>0</v>
      </c>
      <c r="AR240" s="42">
        <f t="shared" si="163"/>
        <v>0</v>
      </c>
      <c r="AS240" s="42">
        <f t="shared" si="163"/>
        <v>0</v>
      </c>
      <c r="AT240" s="42">
        <f t="shared" si="163"/>
        <v>0</v>
      </c>
      <c r="AU240" s="42">
        <f t="shared" si="163"/>
        <v>0</v>
      </c>
      <c r="AV240" s="42">
        <f t="shared" si="163"/>
        <v>0</v>
      </c>
      <c r="AW240" s="54">
        <f t="shared" si="163"/>
        <v>0</v>
      </c>
      <c r="AX240" s="46"/>
      <c r="AY240" s="46"/>
      <c r="AZ240" s="46"/>
      <c r="BA240" s="46"/>
      <c r="BB240" s="46"/>
      <c r="BC240" s="46"/>
      <c r="BD240" s="46"/>
      <c r="BQ240" s="31"/>
      <c r="BR240" s="31"/>
      <c r="BS240" s="31"/>
      <c r="BT240" s="54">
        <f t="shared" si="164"/>
        <v>0</v>
      </c>
      <c r="BU240" s="42">
        <f t="shared" si="164"/>
        <v>0</v>
      </c>
      <c r="BV240" s="42">
        <f t="shared" si="164"/>
        <v>0</v>
      </c>
      <c r="BW240" s="42">
        <f t="shared" si="164"/>
        <v>0</v>
      </c>
      <c r="BX240" s="42">
        <f t="shared" si="164"/>
        <v>0</v>
      </c>
      <c r="BY240" s="42">
        <f t="shared" si="164"/>
        <v>0</v>
      </c>
      <c r="BZ240" s="42">
        <f t="shared" si="164"/>
        <v>0</v>
      </c>
      <c r="CA240" s="42">
        <f t="shared" si="164"/>
        <v>0</v>
      </c>
      <c r="CB240" s="42">
        <f t="shared" si="164"/>
        <v>0</v>
      </c>
      <c r="CC240" s="42">
        <f t="shared" si="164"/>
        <v>0</v>
      </c>
      <c r="CD240" s="46"/>
      <c r="CE240" s="31"/>
    </row>
    <row r="241" spans="4:97" ht="24" customHeight="1" x14ac:dyDescent="0.15">
      <c r="D241" s="130">
        <v>32</v>
      </c>
      <c r="AB241" s="31" t="s">
        <v>743</v>
      </c>
      <c r="AC241" s="692" t="s">
        <v>1115</v>
      </c>
      <c r="AD241" s="663"/>
      <c r="AE241" s="663"/>
      <c r="AF241" s="663"/>
      <c r="AG241" s="663"/>
      <c r="AH241" s="693"/>
      <c r="AI241" s="31" t="s">
        <v>122</v>
      </c>
      <c r="AJ241" s="54">
        <f>SUMIF($AI$29:$AI$237,$AI241,AJ$29:AJ$237)</f>
        <v>47.399999999441185</v>
      </c>
      <c r="AK241" s="46"/>
      <c r="AL241" s="46"/>
      <c r="AM241" s="46"/>
      <c r="AN241" s="42">
        <f t="shared" si="163"/>
        <v>1347</v>
      </c>
      <c r="AO241" s="42">
        <f t="shared" si="163"/>
        <v>0</v>
      </c>
      <c r="AP241" s="42">
        <f t="shared" si="163"/>
        <v>22</v>
      </c>
      <c r="AQ241" s="42">
        <f t="shared" si="163"/>
        <v>1325</v>
      </c>
      <c r="AR241" s="42">
        <f t="shared" si="163"/>
        <v>1</v>
      </c>
      <c r="AS241" s="42">
        <f t="shared" si="163"/>
        <v>2</v>
      </c>
      <c r="AT241" s="42">
        <f t="shared" si="163"/>
        <v>1339</v>
      </c>
      <c r="AU241" s="42">
        <f t="shared" si="163"/>
        <v>5</v>
      </c>
      <c r="AV241" s="42">
        <f t="shared" si="163"/>
        <v>0</v>
      </c>
      <c r="AW241" s="54">
        <f t="shared" si="163"/>
        <v>67135.63</v>
      </c>
      <c r="AX241" s="46"/>
      <c r="AY241" s="46"/>
      <c r="AZ241" s="46"/>
      <c r="BA241" s="46"/>
      <c r="BB241" s="46"/>
      <c r="BC241" s="46"/>
      <c r="BD241" s="46"/>
      <c r="BQ241" s="31"/>
      <c r="BR241" s="31"/>
      <c r="BS241" s="31"/>
      <c r="BT241" s="54">
        <f t="shared" si="164"/>
        <v>0</v>
      </c>
      <c r="BU241" s="42">
        <f t="shared" si="164"/>
        <v>0</v>
      </c>
      <c r="BV241" s="42">
        <f t="shared" si="164"/>
        <v>0</v>
      </c>
      <c r="BW241" s="42">
        <f t="shared" si="164"/>
        <v>0</v>
      </c>
      <c r="BX241" s="42">
        <f t="shared" si="164"/>
        <v>0</v>
      </c>
      <c r="BY241" s="42">
        <f t="shared" si="164"/>
        <v>0</v>
      </c>
      <c r="BZ241" s="42">
        <f t="shared" si="164"/>
        <v>0</v>
      </c>
      <c r="CA241" s="42">
        <f t="shared" si="164"/>
        <v>0</v>
      </c>
      <c r="CB241" s="42">
        <f t="shared" si="164"/>
        <v>0</v>
      </c>
      <c r="CC241" s="42">
        <f t="shared" si="164"/>
        <v>0</v>
      </c>
      <c r="CD241" s="46"/>
      <c r="CE241" s="31"/>
    </row>
    <row r="242" spans="4:97" ht="47.25" customHeight="1" x14ac:dyDescent="0.15">
      <c r="D242" s="130">
        <v>63</v>
      </c>
      <c r="AB242" s="31" t="s">
        <v>788</v>
      </c>
      <c r="AC242" s="692" t="s">
        <v>1116</v>
      </c>
      <c r="AD242" s="663"/>
      <c r="AE242" s="663"/>
      <c r="AF242" s="663"/>
      <c r="AG242" s="663"/>
      <c r="AH242" s="693"/>
      <c r="AI242" s="31" t="s">
        <v>1117</v>
      </c>
      <c r="AJ242" s="54">
        <f>SUMIFS(AJ$29:AJ$237,AI$29:AI$237,$AI241,BB$29:BB$237,"1")</f>
        <v>18.049999999988323</v>
      </c>
      <c r="AK242" s="46"/>
      <c r="AL242" s="46"/>
      <c r="AM242" s="46"/>
      <c r="AN242" s="42">
        <f>SUMIFS(AN$29:AN$237,AI$29:AI$237,$AI241,BB$29:BB$237,"1")</f>
        <v>7</v>
      </c>
      <c r="AO242" s="42">
        <f>SUMIFS(AO$29:AO$237,AI$29:AI$237,$AI241,BB$29:BB$237,"1")</f>
        <v>0</v>
      </c>
      <c r="AP242" s="42">
        <f>SUMIFS(AP$29:AP$237,AI$29:AI$237,$AI241,BB$29:BB$237,"1")</f>
        <v>2</v>
      </c>
      <c r="AQ242" s="42">
        <f>SUMIFS(AQ$29:AQ$237,AI$29:AI$237,$AI241,BB$29:BB$237,"1")</f>
        <v>5</v>
      </c>
      <c r="AR242" s="42">
        <f>SUMIFS(AR$29:AR$237,AI$29:AI$237,$AI241,BB$29:BB$237,"1")</f>
        <v>0</v>
      </c>
      <c r="AS242" s="42">
        <f>SUMIFS(AS$29:AS$237,AI$29:AI$237,$AI241,BB$29:BB$237,"1")</f>
        <v>0</v>
      </c>
      <c r="AT242" s="42">
        <f>SUMIFS(AT$29:AT$237,AI$29:AI$237,$AI241,BB$29:BB$237,"1")</f>
        <v>7</v>
      </c>
      <c r="AU242" s="42">
        <f>SUMIFS(AU$29:AU$237,AI$29:AI$237,$AI241,BB$29:BB$237,"1")</f>
        <v>0</v>
      </c>
      <c r="AV242" s="42">
        <f>SUMIFS(AV$29:AV$237,AI$29:AI$237,$AI241,BB$29:BB$237,"1")</f>
        <v>0</v>
      </c>
      <c r="AW242" s="54">
        <f>SUMIFS(AW$29:AW$237,AI$29:AI$237,$AI241,BB$29:BB$237,"1")</f>
        <v>4140</v>
      </c>
      <c r="AX242" s="46"/>
      <c r="AY242" s="46"/>
      <c r="AZ242" s="46"/>
      <c r="BA242" s="46"/>
      <c r="BB242" s="46"/>
      <c r="BC242" s="46"/>
      <c r="BD242" s="46"/>
      <c r="BQ242" s="31"/>
      <c r="BR242" s="31"/>
      <c r="BS242" s="31"/>
      <c r="BT242" s="54">
        <f>SUMIF($BS$29:$BS$237,$BS242,BT$29:BT$237)</f>
        <v>0</v>
      </c>
      <c r="BU242" s="42">
        <f>SUMIFS(BU$29:BU$237,BP$29:BP$237,$BS241,CD$29:CD$237,"1")</f>
        <v>189</v>
      </c>
      <c r="BV242" s="42">
        <f>SUMIFS(BV$29:BV$237,BP$29:BP$237,$BS241,CD$29:CD$237,"1")</f>
        <v>0</v>
      </c>
      <c r="BW242" s="42">
        <f>SUMIFS(BW$29:BW$237,BP$29:BP$237,$BS241,CD$29:CD$237,"1")</f>
        <v>2</v>
      </c>
      <c r="BX242" s="42">
        <f>SUMIFS(BX$29:BX$237,BP$29:BP$237,$BS241,CD$29:CD$237,"1")</f>
        <v>187</v>
      </c>
      <c r="BY242" s="42">
        <f>SUMIFS(BY$29:BY$237,BP$29:BP$237,$BS241,CD$29:CD$237,"1")</f>
        <v>0</v>
      </c>
      <c r="BZ242" s="42">
        <f>SUMIFS(BZ$29:BZ$237,BP$29:BP$237,$BS241,CD$29:CD$237,"1")</f>
        <v>0</v>
      </c>
      <c r="CA242" s="42">
        <f>SUMIFS(CA$29:CA$237,BP$29:BP$237,$BS241,CD$29:CD$237,"1")</f>
        <v>189</v>
      </c>
      <c r="CB242" s="42">
        <f>SUMIFS(CB$29:CB$237,BP$29:BP$237,$BS241,CD$29:CD$237,"1")</f>
        <v>0</v>
      </c>
      <c r="CC242" s="42">
        <f>SUMIFS(CC$29:CC$237,BP$29:BP$237,$BS241,CD$29:CD$237,"1")</f>
        <v>0</v>
      </c>
      <c r="CD242" s="46"/>
      <c r="CE242" s="31"/>
    </row>
    <row r="243" spans="4:97" ht="12" customHeight="1" x14ac:dyDescent="0.15">
      <c r="D243" s="130">
        <v>16</v>
      </c>
      <c r="AB243" s="685"/>
      <c r="AC243" s="685"/>
      <c r="AD243" s="60"/>
      <c r="AE243" s="685"/>
      <c r="AF243" s="685"/>
      <c r="AG243" s="60"/>
      <c r="AH243" s="60"/>
      <c r="AI243" s="60"/>
      <c r="BQ243" s="60"/>
      <c r="BR243" s="60"/>
      <c r="BS243" s="60"/>
    </row>
    <row r="244" spans="4:97" ht="47.25" customHeight="1" x14ac:dyDescent="0.15">
      <c r="D244" s="130">
        <v>63</v>
      </c>
      <c r="AB244" s="47"/>
      <c r="AC244" s="18" t="str">
        <f>IF(LEN(ruk_dol)=0,"",ruk_dol)</f>
        <v>Генеральный директор</v>
      </c>
      <c r="AD244" s="671" t="str">
        <f>IF(LEN(ruk_FIO)=0,"",ruk_FIO)</f>
        <v>Шохин Александр Ефимович</v>
      </c>
      <c r="AE244" s="671"/>
    </row>
    <row r="245" spans="4:97" ht="15.75" customHeight="1" x14ac:dyDescent="0.15">
      <c r="D245" s="130">
        <v>21</v>
      </c>
      <c r="AC245" s="49" t="s">
        <v>652</v>
      </c>
      <c r="AD245" s="673" t="s">
        <v>757</v>
      </c>
      <c r="AE245" s="641"/>
      <c r="AF245" s="49" t="s">
        <v>758</v>
      </c>
    </row>
    <row r="246" spans="4:97" ht="12" customHeight="1" x14ac:dyDescent="0.15">
      <c r="D246" s="130">
        <v>16</v>
      </c>
    </row>
    <row r="247" spans="4:97" ht="11.25" hidden="1" customHeight="1" x14ac:dyDescent="0.15">
      <c r="D247" s="130">
        <v>0</v>
      </c>
    </row>
    <row r="248" spans="4:97" ht="15" hidden="1" customHeight="1" x14ac:dyDescent="0.15">
      <c r="D248" s="130">
        <v>0</v>
      </c>
    </row>
    <row r="249" spans="4:97" ht="11.25" hidden="1" customHeight="1" x14ac:dyDescent="0.15">
      <c r="D249" s="130">
        <v>0</v>
      </c>
      <c r="AB249" s="641"/>
      <c r="AC249" s="641"/>
      <c r="AD249" s="641"/>
      <c r="AE249" s="641"/>
      <c r="AF249" s="641"/>
    </row>
    <row r="250" spans="4:97" ht="11.25" hidden="1" customHeight="1" x14ac:dyDescent="0.15">
      <c r="D250" s="131">
        <v>0</v>
      </c>
      <c r="CS250" s="23" t="s">
        <v>71</v>
      </c>
    </row>
  </sheetData>
  <sheetProtection formatColumns="0" formatRows="0" insertRows="0" deleteColumns="0" deleteRows="0" sort="0" autoFilter="0"/>
  <mergeCells count="54">
    <mergeCell ref="AR26:AU26"/>
    <mergeCell ref="AV26:AV27"/>
    <mergeCell ref="AN25:AV25"/>
    <mergeCell ref="AY25:AY27"/>
    <mergeCell ref="AG25:AG27"/>
    <mergeCell ref="AH25:AH27"/>
    <mergeCell ref="AI25:AI27"/>
    <mergeCell ref="AN26:AN27"/>
    <mergeCell ref="AO26:AQ26"/>
    <mergeCell ref="AD245:AE245"/>
    <mergeCell ref="AB249:AF249"/>
    <mergeCell ref="AC238:AH238"/>
    <mergeCell ref="AC239:AH239"/>
    <mergeCell ref="AC240:AH240"/>
    <mergeCell ref="AC241:AH241"/>
    <mergeCell ref="AC242:AH242"/>
    <mergeCell ref="AB243:AC243"/>
    <mergeCell ref="AE243:AF243"/>
    <mergeCell ref="AD244:AE244"/>
    <mergeCell ref="AB8:AC8"/>
    <mergeCell ref="AJ8:AM8"/>
    <mergeCell ref="AB22:BB22"/>
    <mergeCell ref="AB24:AJ24"/>
    <mergeCell ref="AK24:AW24"/>
    <mergeCell ref="AX24:AX27"/>
    <mergeCell ref="AY24:BA24"/>
    <mergeCell ref="BB24:BB27"/>
    <mergeCell ref="AB25:AB27"/>
    <mergeCell ref="AW25:AW27"/>
    <mergeCell ref="AJ25:AJ27"/>
    <mergeCell ref="AK25:AK27"/>
    <mergeCell ref="AL25:AL27"/>
    <mergeCell ref="AM25:AM27"/>
    <mergeCell ref="AZ25:AZ27"/>
    <mergeCell ref="BA25:BA27"/>
    <mergeCell ref="CE25:CE27"/>
    <mergeCell ref="BC24:BC27"/>
    <mergeCell ref="CD25:CD27"/>
    <mergeCell ref="BQ24:CD24"/>
    <mergeCell ref="BQ25:BQ27"/>
    <mergeCell ref="BR25:BR27"/>
    <mergeCell ref="BS25:BS27"/>
    <mergeCell ref="BT25:BT27"/>
    <mergeCell ref="BU25:CC25"/>
    <mergeCell ref="BU26:BU27"/>
    <mergeCell ref="BV26:BX26"/>
    <mergeCell ref="BY26:CB26"/>
    <mergeCell ref="CC26:CC27"/>
    <mergeCell ref="BD24:BD27"/>
    <mergeCell ref="AB21:AD21"/>
    <mergeCell ref="AC25:AC27"/>
    <mergeCell ref="AD25:AD27"/>
    <mergeCell ref="AE25:AE27"/>
    <mergeCell ref="AF25:AF27"/>
  </mergeCells>
  <dataValidations count="6">
    <dataValidation type="decimal" allowBlank="1" showErrorMessage="1" errorTitle="Ошибка" error="Допускается ввод только действительных чисел!" sqref="AO29:AT236 AV29:AW236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Title="Внимание" prompt="Выберите значение из списка" sqref="BD29:BD236">
      <formula1>doc_list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AD29:AD236">
      <formula1>VID_OBJECT</formula1>
    </dataValidation>
    <dataValidation type="list" allowBlank="1" showInputMessage="1" showErrorMessage="1" errorTitle="Ошибка" error="Выберите значение из списка" prompt="Выберите значение из списка" sqref="AI29:AI236 BS29:BS236">
      <formula1>VID_END_EE</formula1>
    </dataValidation>
    <dataValidation type="list" allowBlank="1" showInputMessage="1" showErrorMessage="1" errorTitle="Ошибка" error="Выберите значение из списка" sqref="AZ29:AZ236">
      <formula1>f_8_1_ae</formula1>
    </dataValidation>
    <dataValidation type="whole" allowBlank="1" showInputMessage="1" showErrorMessage="1" errorTitle="Ошибка" error="Допускается ввод только чисел 0 и 1!" prompt="Введите число: 0 или 1." sqref="BB29:BB236 CD29:CD236">
      <formula1>0</formula1>
      <formula2>1</formula2>
    </dataValidation>
  </dataValidations>
  <pageMargins left="0.67" right="0.51" top="0.47" bottom="0.4" header="0.2" footer="0.2"/>
  <pageSetup paperSize="9" scale="93" fitToHeight="2" orientation="portrait"/>
  <headerFooter>
    <oddHeader>&amp;L&amp;C&amp;R</oddHeader>
    <oddFooter>&amp;L&amp;C&amp;R</oddFooter>
    <evenHeader>&amp;L&amp;C&amp;R</evenHeader>
    <evenFooter>&amp;L&amp;C&amp;R</evenFooter>
  </headerFooter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X40"/>
  <sheetViews>
    <sheetView showGridLines="0" tabSelected="1" topLeftCell="AA20" workbookViewId="0">
      <selection activeCell="AK49" sqref="AK49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8" style="166" customWidth="1"/>
    <col min="29" max="29" width="12.5703125" style="166" customWidth="1"/>
    <col min="30" max="30" width="11" style="166" customWidth="1"/>
    <col min="31" max="37" width="12" style="166" customWidth="1"/>
    <col min="38" max="38" width="21.5703125" style="166" customWidth="1"/>
    <col min="39" max="39" width="11" style="166" hidden="1" customWidth="1"/>
    <col min="40" max="46" width="12" style="166" hidden="1" customWidth="1"/>
    <col min="47" max="47" width="21.5703125" style="166" hidden="1" customWidth="1"/>
    <col min="48" max="48" width="99" style="166" customWidth="1"/>
    <col min="49" max="49" width="44.5703125" style="166" customWidth="1"/>
    <col min="50" max="50" width="9.140625" hidden="1"/>
  </cols>
  <sheetData>
    <row r="1" spans="4:50" ht="22.5" hidden="1" customHeight="1" x14ac:dyDescent="0.15"/>
    <row r="2" spans="4:50" ht="12.75" hidden="1" customHeight="1" x14ac:dyDescent="0.15">
      <c r="AM2" s="59" t="b">
        <f t="shared" ref="AM2:AU2" si="0">REPORT_OWNER="Версия регулятора"</f>
        <v>0</v>
      </c>
      <c r="AN2" s="59" t="b">
        <f t="shared" si="0"/>
        <v>0</v>
      </c>
      <c r="AO2" s="59" t="b">
        <f t="shared" si="0"/>
        <v>0</v>
      </c>
      <c r="AP2" s="59" t="b">
        <f t="shared" si="0"/>
        <v>0</v>
      </c>
      <c r="AQ2" s="59" t="b">
        <f t="shared" si="0"/>
        <v>0</v>
      </c>
      <c r="AR2" s="59" t="b">
        <f t="shared" si="0"/>
        <v>0</v>
      </c>
      <c r="AS2" s="59" t="b">
        <f t="shared" si="0"/>
        <v>0</v>
      </c>
      <c r="AT2" s="59" t="b">
        <f t="shared" si="0"/>
        <v>0</v>
      </c>
      <c r="AU2" s="59" t="b">
        <f t="shared" si="0"/>
        <v>0</v>
      </c>
    </row>
    <row r="3" spans="4:50" ht="11.25" hidden="1" customHeight="1" x14ac:dyDescent="0.15"/>
    <row r="4" spans="4:50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56</v>
      </c>
      <c r="AC4" s="130">
        <v>88</v>
      </c>
      <c r="AD4" s="130">
        <v>77</v>
      </c>
      <c r="AE4" s="130">
        <v>84</v>
      </c>
      <c r="AF4" s="130">
        <v>84</v>
      </c>
      <c r="AG4" s="130">
        <v>84</v>
      </c>
      <c r="AH4" s="130">
        <v>84</v>
      </c>
      <c r="AI4" s="130">
        <v>84</v>
      </c>
      <c r="AJ4" s="130">
        <v>84</v>
      </c>
      <c r="AK4" s="130">
        <v>84</v>
      </c>
      <c r="AL4" s="130">
        <v>151</v>
      </c>
      <c r="AM4" s="130">
        <v>77</v>
      </c>
      <c r="AN4" s="130">
        <v>84</v>
      </c>
      <c r="AO4" s="130">
        <v>84</v>
      </c>
      <c r="AP4" s="130">
        <v>84</v>
      </c>
      <c r="AQ4" s="130">
        <v>84</v>
      </c>
      <c r="AR4" s="130">
        <v>84</v>
      </c>
      <c r="AS4" s="130">
        <v>84</v>
      </c>
      <c r="AT4" s="130">
        <v>84</v>
      </c>
      <c r="AU4" s="130">
        <v>151</v>
      </c>
      <c r="AV4" s="130">
        <v>693</v>
      </c>
      <c r="AW4" s="130">
        <v>312</v>
      </c>
      <c r="AX4" s="131">
        <v>0</v>
      </c>
    </row>
    <row r="5" spans="4:50" ht="26.25" hidden="1" customHeight="1" x14ac:dyDescent="0.15">
      <c r="D5" s="130">
        <v>35</v>
      </c>
    </row>
    <row r="6" spans="4:50" ht="26.25" hidden="1" customHeight="1" x14ac:dyDescent="0.15">
      <c r="D6" s="130">
        <v>35</v>
      </c>
    </row>
    <row r="7" spans="4:50" ht="26.25" hidden="1" customHeight="1" x14ac:dyDescent="0.15">
      <c r="D7" s="130">
        <v>35</v>
      </c>
    </row>
    <row r="8" spans="4:50" ht="26.25" hidden="1" customHeight="1" x14ac:dyDescent="0.15">
      <c r="D8" s="130">
        <v>35</v>
      </c>
      <c r="AB8" s="641"/>
      <c r="AC8" s="641"/>
      <c r="AD8" s="641"/>
      <c r="AE8" s="641"/>
      <c r="AF8" s="641"/>
      <c r="AG8" s="641"/>
      <c r="AM8" s="641"/>
      <c r="AN8" s="641"/>
      <c r="AO8" s="641"/>
      <c r="AP8" s="641"/>
    </row>
    <row r="9" spans="4:50" ht="26.25" hidden="1" customHeight="1" x14ac:dyDescent="0.15">
      <c r="D9" s="130">
        <v>35</v>
      </c>
    </row>
    <row r="10" spans="4:50" ht="26.25" hidden="1" customHeight="1" x14ac:dyDescent="0.15">
      <c r="D10" s="130">
        <v>35</v>
      </c>
    </row>
    <row r="11" spans="4:50" ht="26.25" hidden="1" customHeight="1" x14ac:dyDescent="0.15">
      <c r="D11" s="130">
        <v>35</v>
      </c>
    </row>
    <row r="12" spans="4:50" ht="26.25" hidden="1" customHeight="1" x14ac:dyDescent="0.15">
      <c r="D12" s="130">
        <v>35</v>
      </c>
    </row>
    <row r="13" spans="4:50" ht="26.25" hidden="1" customHeight="1" x14ac:dyDescent="0.15">
      <c r="D13" s="130">
        <v>35</v>
      </c>
    </row>
    <row r="14" spans="4:50" ht="26.25" hidden="1" customHeight="1" x14ac:dyDescent="0.15">
      <c r="D14" s="130">
        <v>35</v>
      </c>
    </row>
    <row r="15" spans="4:50" ht="26.25" hidden="1" customHeight="1" x14ac:dyDescent="0.15">
      <c r="D15" s="130">
        <v>35</v>
      </c>
    </row>
    <row r="16" spans="4:50" ht="26.25" hidden="1" customHeight="1" x14ac:dyDescent="0.15">
      <c r="D16" s="130">
        <v>35</v>
      </c>
    </row>
    <row r="17" spans="4:49" ht="26.25" hidden="1" customHeight="1" x14ac:dyDescent="0.15">
      <c r="D17" s="130">
        <v>35</v>
      </c>
    </row>
    <row r="18" spans="4:49" ht="26.25" hidden="1" customHeight="1" x14ac:dyDescent="0.15">
      <c r="D18" s="130">
        <v>35</v>
      </c>
    </row>
    <row r="19" spans="4:49" ht="26.25" hidden="1" customHeight="1" x14ac:dyDescent="0.15">
      <c r="D19" s="130">
        <v>35</v>
      </c>
    </row>
    <row r="20" spans="4:49" ht="15" customHeight="1" x14ac:dyDescent="0.15">
      <c r="D20" s="130">
        <v>20</v>
      </c>
    </row>
    <row r="21" spans="4:49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49" ht="26.25" customHeight="1" x14ac:dyDescent="0.15">
      <c r="D22" s="130">
        <v>35</v>
      </c>
      <c r="AB22" s="663" t="s">
        <v>1118</v>
      </c>
      <c r="AC22" s="663"/>
      <c r="AD22" s="663"/>
      <c r="AE22" s="663"/>
      <c r="AF22" s="663"/>
      <c r="AG22" s="663"/>
      <c r="AH22" s="663"/>
      <c r="AI22" s="663"/>
      <c r="AJ22" s="663"/>
      <c r="AK22" s="663"/>
      <c r="AL22" s="663"/>
    </row>
    <row r="23" spans="4:49" ht="6" customHeight="1" x14ac:dyDescent="0.15">
      <c r="D23" s="130">
        <v>8</v>
      </c>
    </row>
    <row r="24" spans="4:49" ht="31.5" customHeight="1" x14ac:dyDescent="0.15">
      <c r="D24" s="130">
        <v>42</v>
      </c>
      <c r="AB24" s="680" t="s">
        <v>687</v>
      </c>
      <c r="AC24" s="680" t="s">
        <v>1119</v>
      </c>
      <c r="AD24" s="683" t="s">
        <v>1120</v>
      </c>
      <c r="AE24" s="683"/>
      <c r="AF24" s="683"/>
      <c r="AG24" s="683"/>
      <c r="AH24" s="683"/>
      <c r="AI24" s="683"/>
      <c r="AJ24" s="683"/>
      <c r="AK24" s="683"/>
      <c r="AL24" s="683"/>
      <c r="AM24" s="697" t="s">
        <v>1121</v>
      </c>
      <c r="AN24" s="697"/>
      <c r="AO24" s="697"/>
      <c r="AP24" s="697"/>
      <c r="AQ24" s="697"/>
      <c r="AR24" s="697"/>
      <c r="AS24" s="697"/>
      <c r="AT24" s="697"/>
      <c r="AU24" s="697"/>
      <c r="AV24" s="680" t="s">
        <v>1122</v>
      </c>
      <c r="AW24" s="639" t="s">
        <v>1123</v>
      </c>
    </row>
    <row r="25" spans="4:49" ht="31.5" customHeight="1" x14ac:dyDescent="0.15">
      <c r="D25" s="130">
        <v>42</v>
      </c>
      <c r="AB25" s="680"/>
      <c r="AC25" s="680"/>
      <c r="AD25" s="702" t="s">
        <v>894</v>
      </c>
      <c r="AE25" s="674" t="s">
        <v>895</v>
      </c>
      <c r="AF25" s="674"/>
      <c r="AG25" s="674"/>
      <c r="AH25" s="674" t="s">
        <v>1124</v>
      </c>
      <c r="AI25" s="674"/>
      <c r="AJ25" s="674"/>
      <c r="AK25" s="674"/>
      <c r="AL25" s="700" t="s">
        <v>897</v>
      </c>
      <c r="AM25" s="691" t="s">
        <v>894</v>
      </c>
      <c r="AN25" s="699" t="s">
        <v>895</v>
      </c>
      <c r="AO25" s="699"/>
      <c r="AP25" s="699"/>
      <c r="AQ25" s="699" t="s">
        <v>1124</v>
      </c>
      <c r="AR25" s="699"/>
      <c r="AS25" s="699"/>
      <c r="AT25" s="699"/>
      <c r="AU25" s="694" t="s">
        <v>897</v>
      </c>
      <c r="AV25" s="680"/>
      <c r="AW25" s="639"/>
    </row>
    <row r="26" spans="4:49" ht="27.75" customHeight="1" x14ac:dyDescent="0.15">
      <c r="D26" s="130">
        <v>37</v>
      </c>
      <c r="AB26" s="680"/>
      <c r="AC26" s="680"/>
      <c r="AD26" s="684"/>
      <c r="AE26" s="32" t="s">
        <v>898</v>
      </c>
      <c r="AF26" s="32" t="s">
        <v>899</v>
      </c>
      <c r="AG26" s="32" t="s">
        <v>900</v>
      </c>
      <c r="AH26" s="32" t="s">
        <v>901</v>
      </c>
      <c r="AI26" s="32" t="s">
        <v>1125</v>
      </c>
      <c r="AJ26" s="32" t="s">
        <v>1126</v>
      </c>
      <c r="AK26" s="32" t="s">
        <v>1127</v>
      </c>
      <c r="AL26" s="701"/>
      <c r="AM26" s="698"/>
      <c r="AN26" s="531" t="s">
        <v>898</v>
      </c>
      <c r="AO26" s="73" t="s">
        <v>899</v>
      </c>
      <c r="AP26" s="73" t="s">
        <v>900</v>
      </c>
      <c r="AQ26" s="73" t="s">
        <v>901</v>
      </c>
      <c r="AR26" s="73" t="s">
        <v>1125</v>
      </c>
      <c r="AS26" s="73" t="s">
        <v>1126</v>
      </c>
      <c r="AT26" s="73" t="s">
        <v>1127</v>
      </c>
      <c r="AU26" s="695"/>
      <c r="AV26" s="681"/>
      <c r="AW26" s="638"/>
    </row>
    <row r="27" spans="4:49" ht="20.25" customHeight="1" x14ac:dyDescent="0.15">
      <c r="D27" s="130">
        <v>27</v>
      </c>
      <c r="AB27" s="71" t="s">
        <v>112</v>
      </c>
      <c r="AC27" s="532" t="s">
        <v>1128</v>
      </c>
      <c r="AD27" s="42">
        <f>AE27+AF27+AG27+AL27</f>
        <v>1500</v>
      </c>
      <c r="AE27" s="64">
        <v>0</v>
      </c>
      <c r="AF27" s="64">
        <v>36</v>
      </c>
      <c r="AG27" s="64">
        <v>1461</v>
      </c>
      <c r="AH27" s="64">
        <v>4</v>
      </c>
      <c r="AI27" s="64">
        <v>9</v>
      </c>
      <c r="AJ27" s="64">
        <v>306</v>
      </c>
      <c r="AK27" s="42">
        <f>AD27-AH27-AI27-AJ27-AL27</f>
        <v>1178</v>
      </c>
      <c r="AL27" s="64">
        <v>3</v>
      </c>
      <c r="AM27" s="42">
        <f t="shared" ref="AM27:AM38" si="1">AN27+AO27+AP27+AU27</f>
        <v>1500</v>
      </c>
      <c r="AN27" s="307">
        <f t="shared" ref="AN27:AN38" si="2">AE27</f>
        <v>0</v>
      </c>
      <c r="AO27" s="307">
        <f t="shared" ref="AO27:AO38" si="3">AF27</f>
        <v>36</v>
      </c>
      <c r="AP27" s="307">
        <f t="shared" ref="AP27:AP38" si="4">AG27</f>
        <v>1461</v>
      </c>
      <c r="AQ27" s="307">
        <f t="shared" ref="AQ27:AQ38" si="5">AH27</f>
        <v>4</v>
      </c>
      <c r="AR27" s="307">
        <f t="shared" ref="AR27:AR38" si="6">AI27</f>
        <v>9</v>
      </c>
      <c r="AS27" s="307">
        <f t="shared" ref="AS27:AS38" si="7">AJ27</f>
        <v>306</v>
      </c>
      <c r="AT27" s="42">
        <f t="shared" ref="AT27:AT38" si="8">AM27-AQ27-AR27-AS27-AU27</f>
        <v>1178</v>
      </c>
      <c r="AU27" s="307">
        <f t="shared" ref="AU27:AU38" si="9">AL27</f>
        <v>3</v>
      </c>
      <c r="AV27" s="135"/>
      <c r="AW27" s="696" t="s">
        <v>1129</v>
      </c>
    </row>
    <row r="28" spans="4:49" ht="20.25" customHeight="1" x14ac:dyDescent="0.15">
      <c r="D28" s="130">
        <v>27</v>
      </c>
      <c r="AB28" s="71" t="s">
        <v>692</v>
      </c>
      <c r="AC28" s="40" t="s">
        <v>1130</v>
      </c>
      <c r="AD28" s="42">
        <f t="shared" ref="AD28:AD38" si="10">AE28+AF28+AG28+AL28</f>
        <v>1499</v>
      </c>
      <c r="AE28" s="64">
        <v>0</v>
      </c>
      <c r="AF28" s="64">
        <v>36</v>
      </c>
      <c r="AG28" s="64">
        <v>1460</v>
      </c>
      <c r="AH28" s="64">
        <v>4</v>
      </c>
      <c r="AI28" s="64">
        <v>9</v>
      </c>
      <c r="AJ28" s="64">
        <v>305</v>
      </c>
      <c r="AK28" s="42">
        <f t="shared" ref="AK28:AK38" si="11">AD28-AH28-AI28-AJ28-AL28</f>
        <v>1178</v>
      </c>
      <c r="AL28" s="64">
        <v>3</v>
      </c>
      <c r="AM28" s="42">
        <f t="shared" si="1"/>
        <v>1499</v>
      </c>
      <c r="AN28" s="307">
        <f t="shared" si="2"/>
        <v>0</v>
      </c>
      <c r="AO28" s="307">
        <f t="shared" si="3"/>
        <v>36</v>
      </c>
      <c r="AP28" s="307">
        <f t="shared" si="4"/>
        <v>1460</v>
      </c>
      <c r="AQ28" s="307">
        <f t="shared" si="5"/>
        <v>4</v>
      </c>
      <c r="AR28" s="307">
        <f t="shared" si="6"/>
        <v>9</v>
      </c>
      <c r="AS28" s="307">
        <f t="shared" si="7"/>
        <v>305</v>
      </c>
      <c r="AT28" s="42">
        <f t="shared" si="8"/>
        <v>1178</v>
      </c>
      <c r="AU28" s="307">
        <f t="shared" si="9"/>
        <v>3</v>
      </c>
      <c r="AV28" s="135"/>
      <c r="AW28" s="696"/>
    </row>
    <row r="29" spans="4:49" ht="20.25" customHeight="1" x14ac:dyDescent="0.15">
      <c r="D29" s="130">
        <v>27</v>
      </c>
      <c r="AB29" s="71" t="s">
        <v>143</v>
      </c>
      <c r="AC29" s="40" t="s">
        <v>1131</v>
      </c>
      <c r="AD29" s="42">
        <f t="shared" si="10"/>
        <v>1498</v>
      </c>
      <c r="AE29" s="64">
        <v>0</v>
      </c>
      <c r="AF29" s="64">
        <v>36</v>
      </c>
      <c r="AG29" s="64">
        <v>1459</v>
      </c>
      <c r="AH29" s="64">
        <v>4</v>
      </c>
      <c r="AI29" s="64">
        <v>9</v>
      </c>
      <c r="AJ29" s="64">
        <v>304</v>
      </c>
      <c r="AK29" s="42">
        <f t="shared" si="11"/>
        <v>1178</v>
      </c>
      <c r="AL29" s="64">
        <v>3</v>
      </c>
      <c r="AM29" s="42">
        <f t="shared" si="1"/>
        <v>1498</v>
      </c>
      <c r="AN29" s="307">
        <f t="shared" si="2"/>
        <v>0</v>
      </c>
      <c r="AO29" s="307">
        <f t="shared" si="3"/>
        <v>36</v>
      </c>
      <c r="AP29" s="307">
        <f t="shared" si="4"/>
        <v>1459</v>
      </c>
      <c r="AQ29" s="307">
        <f t="shared" si="5"/>
        <v>4</v>
      </c>
      <c r="AR29" s="307">
        <f t="shared" si="6"/>
        <v>9</v>
      </c>
      <c r="AS29" s="307">
        <f t="shared" si="7"/>
        <v>304</v>
      </c>
      <c r="AT29" s="42">
        <f t="shared" si="8"/>
        <v>1178</v>
      </c>
      <c r="AU29" s="307">
        <f t="shared" si="9"/>
        <v>3</v>
      </c>
      <c r="AV29" s="135"/>
      <c r="AW29" s="696"/>
    </row>
    <row r="30" spans="4:49" ht="20.25" customHeight="1" x14ac:dyDescent="0.15">
      <c r="D30" s="130">
        <v>27</v>
      </c>
      <c r="AB30" s="71" t="s">
        <v>151</v>
      </c>
      <c r="AC30" s="40" t="s">
        <v>1132</v>
      </c>
      <c r="AD30" s="42">
        <f t="shared" si="10"/>
        <v>1497</v>
      </c>
      <c r="AE30" s="64">
        <v>0</v>
      </c>
      <c r="AF30" s="64">
        <v>36</v>
      </c>
      <c r="AG30" s="64">
        <v>1458</v>
      </c>
      <c r="AH30" s="64">
        <v>4</v>
      </c>
      <c r="AI30" s="64">
        <v>9</v>
      </c>
      <c r="AJ30" s="64">
        <v>303</v>
      </c>
      <c r="AK30" s="42">
        <f t="shared" si="11"/>
        <v>1178</v>
      </c>
      <c r="AL30" s="64">
        <v>3</v>
      </c>
      <c r="AM30" s="42">
        <f t="shared" si="1"/>
        <v>1497</v>
      </c>
      <c r="AN30" s="307">
        <f t="shared" si="2"/>
        <v>0</v>
      </c>
      <c r="AO30" s="307">
        <f t="shared" si="3"/>
        <v>36</v>
      </c>
      <c r="AP30" s="307">
        <f t="shared" si="4"/>
        <v>1458</v>
      </c>
      <c r="AQ30" s="307">
        <f t="shared" si="5"/>
        <v>4</v>
      </c>
      <c r="AR30" s="307">
        <f t="shared" si="6"/>
        <v>9</v>
      </c>
      <c r="AS30" s="307">
        <f t="shared" si="7"/>
        <v>303</v>
      </c>
      <c r="AT30" s="42">
        <f t="shared" si="8"/>
        <v>1178</v>
      </c>
      <c r="AU30" s="307">
        <f t="shared" si="9"/>
        <v>3</v>
      </c>
      <c r="AV30" s="135"/>
      <c r="AW30" s="696"/>
    </row>
    <row r="31" spans="4:49" ht="20.25" customHeight="1" x14ac:dyDescent="0.15">
      <c r="D31" s="130">
        <v>27</v>
      </c>
      <c r="AB31" s="71" t="s">
        <v>158</v>
      </c>
      <c r="AC31" s="40" t="s">
        <v>1133</v>
      </c>
      <c r="AD31" s="42">
        <f t="shared" si="10"/>
        <v>1496</v>
      </c>
      <c r="AE31" s="64">
        <v>0</v>
      </c>
      <c r="AF31" s="64">
        <v>36</v>
      </c>
      <c r="AG31" s="64">
        <v>1457</v>
      </c>
      <c r="AH31" s="64">
        <v>4</v>
      </c>
      <c r="AI31" s="64">
        <v>9</v>
      </c>
      <c r="AJ31" s="64">
        <v>301</v>
      </c>
      <c r="AK31" s="42">
        <f t="shared" si="11"/>
        <v>1179</v>
      </c>
      <c r="AL31" s="64">
        <v>3</v>
      </c>
      <c r="AM31" s="42">
        <f t="shared" si="1"/>
        <v>1496</v>
      </c>
      <c r="AN31" s="307">
        <f t="shared" si="2"/>
        <v>0</v>
      </c>
      <c r="AO31" s="307">
        <f t="shared" si="3"/>
        <v>36</v>
      </c>
      <c r="AP31" s="307">
        <f t="shared" si="4"/>
        <v>1457</v>
      </c>
      <c r="AQ31" s="307">
        <f t="shared" si="5"/>
        <v>4</v>
      </c>
      <c r="AR31" s="307">
        <f t="shared" si="6"/>
        <v>9</v>
      </c>
      <c r="AS31" s="307">
        <f t="shared" si="7"/>
        <v>301</v>
      </c>
      <c r="AT31" s="42">
        <f t="shared" si="8"/>
        <v>1179</v>
      </c>
      <c r="AU31" s="307">
        <f t="shared" si="9"/>
        <v>3</v>
      </c>
      <c r="AV31" s="135"/>
      <c r="AW31" s="696"/>
    </row>
    <row r="32" spans="4:49" ht="20.25" customHeight="1" x14ac:dyDescent="0.15">
      <c r="D32" s="130">
        <v>27</v>
      </c>
      <c r="AB32" s="71" t="s">
        <v>703</v>
      </c>
      <c r="AC32" s="40" t="s">
        <v>1134</v>
      </c>
      <c r="AD32" s="42">
        <f t="shared" si="10"/>
        <v>1496</v>
      </c>
      <c r="AE32" s="64">
        <v>0</v>
      </c>
      <c r="AF32" s="64">
        <v>36</v>
      </c>
      <c r="AG32" s="64">
        <v>1457</v>
      </c>
      <c r="AH32" s="64">
        <v>4</v>
      </c>
      <c r="AI32" s="64">
        <v>9</v>
      </c>
      <c r="AJ32" s="64">
        <v>301</v>
      </c>
      <c r="AK32" s="42">
        <f t="shared" si="11"/>
        <v>1179</v>
      </c>
      <c r="AL32" s="64">
        <v>3</v>
      </c>
      <c r="AM32" s="42">
        <f t="shared" si="1"/>
        <v>1496</v>
      </c>
      <c r="AN32" s="307">
        <f t="shared" si="2"/>
        <v>0</v>
      </c>
      <c r="AO32" s="307">
        <f t="shared" si="3"/>
        <v>36</v>
      </c>
      <c r="AP32" s="307">
        <f t="shared" si="4"/>
        <v>1457</v>
      </c>
      <c r="AQ32" s="307">
        <f t="shared" si="5"/>
        <v>4</v>
      </c>
      <c r="AR32" s="307">
        <f t="shared" si="6"/>
        <v>9</v>
      </c>
      <c r="AS32" s="307">
        <f t="shared" si="7"/>
        <v>301</v>
      </c>
      <c r="AT32" s="42">
        <f t="shared" si="8"/>
        <v>1179</v>
      </c>
      <c r="AU32" s="307">
        <f t="shared" si="9"/>
        <v>3</v>
      </c>
      <c r="AV32" s="135"/>
      <c r="AW32" s="696"/>
    </row>
    <row r="33" spans="4:50" ht="20.25" customHeight="1" x14ac:dyDescent="0.15">
      <c r="D33" s="130">
        <v>27</v>
      </c>
      <c r="AB33" s="71" t="s">
        <v>704</v>
      </c>
      <c r="AC33" s="40" t="s">
        <v>1135</v>
      </c>
      <c r="AD33" s="42">
        <f t="shared" si="10"/>
        <v>323</v>
      </c>
      <c r="AE33" s="64">
        <v>0</v>
      </c>
      <c r="AF33" s="64">
        <v>36</v>
      </c>
      <c r="AG33" s="64">
        <v>280</v>
      </c>
      <c r="AH33" s="64">
        <v>3</v>
      </c>
      <c r="AI33" s="64">
        <v>9</v>
      </c>
      <c r="AJ33" s="64">
        <v>288</v>
      </c>
      <c r="AK33" s="42">
        <f t="shared" si="11"/>
        <v>16</v>
      </c>
      <c r="AL33" s="64">
        <v>7</v>
      </c>
      <c r="AM33" s="42">
        <f t="shared" si="1"/>
        <v>323</v>
      </c>
      <c r="AN33" s="307">
        <f t="shared" si="2"/>
        <v>0</v>
      </c>
      <c r="AO33" s="307">
        <f t="shared" si="3"/>
        <v>36</v>
      </c>
      <c r="AP33" s="307">
        <f t="shared" si="4"/>
        <v>280</v>
      </c>
      <c r="AQ33" s="307">
        <f t="shared" si="5"/>
        <v>3</v>
      </c>
      <c r="AR33" s="307">
        <f t="shared" si="6"/>
        <v>9</v>
      </c>
      <c r="AS33" s="307">
        <f t="shared" si="7"/>
        <v>288</v>
      </c>
      <c r="AT33" s="42">
        <f t="shared" si="8"/>
        <v>16</v>
      </c>
      <c r="AU33" s="307">
        <f t="shared" si="9"/>
        <v>7</v>
      </c>
      <c r="AV33" s="135"/>
      <c r="AW33" s="696"/>
    </row>
    <row r="34" spans="4:50" ht="20.25" customHeight="1" x14ac:dyDescent="0.15">
      <c r="D34" s="130">
        <v>27</v>
      </c>
      <c r="AB34" s="71" t="s">
        <v>705</v>
      </c>
      <c r="AC34" s="40" t="s">
        <v>1136</v>
      </c>
      <c r="AD34" s="42">
        <f t="shared" si="10"/>
        <v>321</v>
      </c>
      <c r="AE34" s="64">
        <v>0</v>
      </c>
      <c r="AF34" s="64">
        <v>36</v>
      </c>
      <c r="AG34" s="64">
        <v>278</v>
      </c>
      <c r="AH34" s="64">
        <v>3</v>
      </c>
      <c r="AI34" s="64">
        <v>9</v>
      </c>
      <c r="AJ34" s="64">
        <v>286</v>
      </c>
      <c r="AK34" s="42">
        <f t="shared" si="11"/>
        <v>16</v>
      </c>
      <c r="AL34" s="306">
        <v>7</v>
      </c>
      <c r="AM34" s="42">
        <f t="shared" si="1"/>
        <v>321</v>
      </c>
      <c r="AN34" s="307">
        <f t="shared" si="2"/>
        <v>0</v>
      </c>
      <c r="AO34" s="307">
        <f t="shared" si="3"/>
        <v>36</v>
      </c>
      <c r="AP34" s="307">
        <f t="shared" si="4"/>
        <v>278</v>
      </c>
      <c r="AQ34" s="307">
        <f t="shared" si="5"/>
        <v>3</v>
      </c>
      <c r="AR34" s="307">
        <f t="shared" si="6"/>
        <v>9</v>
      </c>
      <c r="AS34" s="307">
        <f t="shared" si="7"/>
        <v>286</v>
      </c>
      <c r="AT34" s="42">
        <f t="shared" si="8"/>
        <v>16</v>
      </c>
      <c r="AU34" s="307">
        <f t="shared" si="9"/>
        <v>7</v>
      </c>
      <c r="AV34" s="135"/>
      <c r="AW34" s="696"/>
    </row>
    <row r="35" spans="4:50" ht="20.25" customHeight="1" x14ac:dyDescent="0.15">
      <c r="D35" s="130">
        <v>27</v>
      </c>
      <c r="AB35" s="71" t="s">
        <v>706</v>
      </c>
      <c r="AC35" s="40" t="s">
        <v>1137</v>
      </c>
      <c r="AD35" s="42">
        <f t="shared" si="10"/>
        <v>324</v>
      </c>
      <c r="AE35" s="64">
        <v>0</v>
      </c>
      <c r="AF35" s="64">
        <v>36</v>
      </c>
      <c r="AG35" s="64">
        <v>281</v>
      </c>
      <c r="AH35" s="64">
        <v>3</v>
      </c>
      <c r="AI35" s="64">
        <v>9</v>
      </c>
      <c r="AJ35" s="64">
        <v>289</v>
      </c>
      <c r="AK35" s="42">
        <f t="shared" si="11"/>
        <v>16</v>
      </c>
      <c r="AL35" s="306">
        <v>7</v>
      </c>
      <c r="AM35" s="42">
        <f t="shared" si="1"/>
        <v>324</v>
      </c>
      <c r="AN35" s="307">
        <f t="shared" si="2"/>
        <v>0</v>
      </c>
      <c r="AO35" s="307">
        <f t="shared" si="3"/>
        <v>36</v>
      </c>
      <c r="AP35" s="307">
        <f t="shared" si="4"/>
        <v>281</v>
      </c>
      <c r="AQ35" s="307">
        <f t="shared" si="5"/>
        <v>3</v>
      </c>
      <c r="AR35" s="307">
        <f t="shared" si="6"/>
        <v>9</v>
      </c>
      <c r="AS35" s="307">
        <f t="shared" si="7"/>
        <v>289</v>
      </c>
      <c r="AT35" s="42">
        <f t="shared" si="8"/>
        <v>16</v>
      </c>
      <c r="AU35" s="307">
        <f t="shared" si="9"/>
        <v>7</v>
      </c>
      <c r="AV35" s="135"/>
      <c r="AW35" s="696"/>
    </row>
    <row r="36" spans="4:50" ht="20.25" customHeight="1" x14ac:dyDescent="0.15">
      <c r="D36" s="130">
        <v>27</v>
      </c>
      <c r="AB36" s="71" t="s">
        <v>707</v>
      </c>
      <c r="AC36" s="40" t="s">
        <v>1138</v>
      </c>
      <c r="AD36" s="42">
        <f t="shared" si="10"/>
        <v>324</v>
      </c>
      <c r="AE36" s="64">
        <v>0</v>
      </c>
      <c r="AF36" s="64">
        <v>36</v>
      </c>
      <c r="AG36" s="64">
        <v>281</v>
      </c>
      <c r="AH36" s="64">
        <v>3</v>
      </c>
      <c r="AI36" s="64">
        <v>9</v>
      </c>
      <c r="AJ36" s="64">
        <v>289</v>
      </c>
      <c r="AK36" s="42">
        <f t="shared" si="11"/>
        <v>16</v>
      </c>
      <c r="AL36" s="64">
        <v>7</v>
      </c>
      <c r="AM36" s="42">
        <f t="shared" si="1"/>
        <v>324</v>
      </c>
      <c r="AN36" s="307">
        <f t="shared" si="2"/>
        <v>0</v>
      </c>
      <c r="AO36" s="307">
        <f t="shared" si="3"/>
        <v>36</v>
      </c>
      <c r="AP36" s="307">
        <f t="shared" si="4"/>
        <v>281</v>
      </c>
      <c r="AQ36" s="307">
        <f t="shared" si="5"/>
        <v>3</v>
      </c>
      <c r="AR36" s="307">
        <f t="shared" si="6"/>
        <v>9</v>
      </c>
      <c r="AS36" s="307">
        <f t="shared" si="7"/>
        <v>289</v>
      </c>
      <c r="AT36" s="42">
        <f t="shared" si="8"/>
        <v>16</v>
      </c>
      <c r="AU36" s="307">
        <f t="shared" si="9"/>
        <v>7</v>
      </c>
      <c r="AV36" s="135"/>
      <c r="AW36" s="696"/>
    </row>
    <row r="37" spans="4:50" ht="20.25" customHeight="1" x14ac:dyDescent="0.15">
      <c r="D37" s="130">
        <v>27</v>
      </c>
      <c r="AB37" s="71" t="s">
        <v>708</v>
      </c>
      <c r="AC37" s="40" t="s">
        <v>1139</v>
      </c>
      <c r="AD37" s="42">
        <f t="shared" si="10"/>
        <v>323</v>
      </c>
      <c r="AE37" s="64">
        <v>0</v>
      </c>
      <c r="AF37" s="64">
        <v>36</v>
      </c>
      <c r="AG37" s="64">
        <v>280</v>
      </c>
      <c r="AH37" s="64">
        <v>3</v>
      </c>
      <c r="AI37" s="64">
        <v>9</v>
      </c>
      <c r="AJ37" s="64">
        <v>288</v>
      </c>
      <c r="AK37" s="42">
        <f t="shared" si="11"/>
        <v>16</v>
      </c>
      <c r="AL37" s="64">
        <v>7</v>
      </c>
      <c r="AM37" s="42">
        <f t="shared" si="1"/>
        <v>323</v>
      </c>
      <c r="AN37" s="307">
        <f t="shared" si="2"/>
        <v>0</v>
      </c>
      <c r="AO37" s="307">
        <f t="shared" si="3"/>
        <v>36</v>
      </c>
      <c r="AP37" s="307">
        <f t="shared" si="4"/>
        <v>280</v>
      </c>
      <c r="AQ37" s="307">
        <f t="shared" si="5"/>
        <v>3</v>
      </c>
      <c r="AR37" s="307">
        <f t="shared" si="6"/>
        <v>9</v>
      </c>
      <c r="AS37" s="307">
        <f t="shared" si="7"/>
        <v>288</v>
      </c>
      <c r="AT37" s="42">
        <f t="shared" si="8"/>
        <v>16</v>
      </c>
      <c r="AU37" s="307">
        <f t="shared" si="9"/>
        <v>7</v>
      </c>
      <c r="AV37" s="135"/>
      <c r="AW37" s="696"/>
    </row>
    <row r="38" spans="4:50" ht="20.25" customHeight="1" x14ac:dyDescent="0.15">
      <c r="D38" s="130">
        <v>27</v>
      </c>
      <c r="AB38" s="71" t="s">
        <v>709</v>
      </c>
      <c r="AC38" s="40" t="s">
        <v>1140</v>
      </c>
      <c r="AD38" s="42">
        <f t="shared" si="10"/>
        <v>318</v>
      </c>
      <c r="AE38" s="64">
        <v>0</v>
      </c>
      <c r="AF38" s="64">
        <v>35</v>
      </c>
      <c r="AG38" s="64">
        <v>276</v>
      </c>
      <c r="AH38" s="64">
        <v>3</v>
      </c>
      <c r="AI38" s="64">
        <v>9</v>
      </c>
      <c r="AJ38" s="64">
        <v>283</v>
      </c>
      <c r="AK38" s="42">
        <f t="shared" si="11"/>
        <v>16</v>
      </c>
      <c r="AL38" s="64">
        <v>7</v>
      </c>
      <c r="AM38" s="42">
        <f t="shared" si="1"/>
        <v>318</v>
      </c>
      <c r="AN38" s="307">
        <f t="shared" si="2"/>
        <v>0</v>
      </c>
      <c r="AO38" s="307">
        <f t="shared" si="3"/>
        <v>35</v>
      </c>
      <c r="AP38" s="307">
        <f t="shared" si="4"/>
        <v>276</v>
      </c>
      <c r="AQ38" s="307">
        <f t="shared" si="5"/>
        <v>3</v>
      </c>
      <c r="AR38" s="307">
        <f t="shared" si="6"/>
        <v>9</v>
      </c>
      <c r="AS38" s="307">
        <f t="shared" si="7"/>
        <v>283</v>
      </c>
      <c r="AT38" s="42">
        <f t="shared" si="8"/>
        <v>16</v>
      </c>
      <c r="AU38" s="307">
        <f t="shared" si="9"/>
        <v>7</v>
      </c>
      <c r="AV38" s="135"/>
      <c r="AW38" s="696"/>
    </row>
    <row r="39" spans="4:50" ht="12" customHeight="1" x14ac:dyDescent="0.15">
      <c r="D39" s="130">
        <v>16</v>
      </c>
      <c r="AB39" s="51"/>
      <c r="AC39" s="51"/>
    </row>
    <row r="40" spans="4:50" ht="11.25" hidden="1" customHeight="1" x14ac:dyDescent="0.15">
      <c r="D40" s="131">
        <v>0</v>
      </c>
      <c r="AX40" s="23" t="s">
        <v>71</v>
      </c>
    </row>
  </sheetData>
  <sheetProtection formatColumns="0" formatRows="0" insertRows="0" deleteColumns="0" deleteRows="0" sort="0" autoFilter="0"/>
  <mergeCells count="20">
    <mergeCell ref="AB8:AC8"/>
    <mergeCell ref="AD8:AG8"/>
    <mergeCell ref="AB22:AL22"/>
    <mergeCell ref="AB24:AB26"/>
    <mergeCell ref="AC24:AC26"/>
    <mergeCell ref="AE25:AG25"/>
    <mergeCell ref="AH25:AK25"/>
    <mergeCell ref="AL25:AL26"/>
    <mergeCell ref="AD24:AL24"/>
    <mergeCell ref="AD25:AD26"/>
    <mergeCell ref="AB21:AD21"/>
    <mergeCell ref="AU25:AU26"/>
    <mergeCell ref="AW24:AW26"/>
    <mergeCell ref="AV24:AV26"/>
    <mergeCell ref="AW27:AW38"/>
    <mergeCell ref="AM8:AP8"/>
    <mergeCell ref="AM24:AU24"/>
    <mergeCell ref="AM25:AM26"/>
    <mergeCell ref="AN25:AP25"/>
    <mergeCell ref="AQ25:AT25"/>
  </mergeCells>
  <dataValidations count="2">
    <dataValidation type="list" allowBlank="1" showInputMessage="1" showErrorMessage="1" errorTitle="Ошибка" error="Выберите значение из списка" promptTitle="Внимание" prompt="Выберите значение из списка" sqref="AV27:AV38">
      <formula1>doc_list</formula1>
    </dataValidation>
    <dataValidation type="whole" allowBlank="1" showErrorMessage="1" errorTitle="Ошибка" error="Допускается ввод только неотрицательных целых чисел!" sqref="AU27:AU38 AE27:AJ38 AN27:AS38 AL27:AL38">
      <formula1>0</formula1>
      <formula2>9.99999999999999E+23</formula2>
    </dataValidation>
  </dataValidations>
  <pageMargins left="0.67" right="0.51" top="0.47" bottom="0.4" header="0.2" footer="0.2"/>
  <pageSetup paperSize="9" scale="93" fitToHeight="2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3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7" style="166" customWidth="1"/>
    <col min="29" max="29" width="63" style="166" customWidth="1"/>
    <col min="30" max="30" width="12.42578125" style="166" customWidth="1"/>
    <col min="31" max="31" width="15" style="166" hidden="1" customWidth="1"/>
    <col min="32" max="32" width="9.140625" hidden="1"/>
  </cols>
  <sheetData>
    <row r="1" spans="4:32" ht="22.5" hidden="1" customHeight="1" x14ac:dyDescent="0.15"/>
    <row r="2" spans="4:32" ht="12.75" hidden="1" customHeight="1" x14ac:dyDescent="0.15">
      <c r="AE2" s="20" t="b">
        <f>REPORT_OWNER="Версия регулятора"</f>
        <v>0</v>
      </c>
    </row>
    <row r="3" spans="4:32" ht="11.25" hidden="1" customHeight="1" x14ac:dyDescent="0.15"/>
    <row r="4" spans="4:32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49</v>
      </c>
      <c r="AC4" s="130">
        <v>441</v>
      </c>
      <c r="AD4" s="130">
        <v>87</v>
      </c>
      <c r="AE4" s="130">
        <v>105</v>
      </c>
      <c r="AF4" s="131">
        <v>0</v>
      </c>
    </row>
    <row r="5" spans="4:32" ht="26.25" hidden="1" customHeight="1" x14ac:dyDescent="0.15">
      <c r="D5" s="130">
        <v>35</v>
      </c>
    </row>
    <row r="6" spans="4:32" ht="26.25" hidden="1" customHeight="1" x14ac:dyDescent="0.15">
      <c r="D6" s="130">
        <v>35</v>
      </c>
    </row>
    <row r="7" spans="4:32" ht="26.25" hidden="1" customHeight="1" x14ac:dyDescent="0.15">
      <c r="D7" s="130">
        <v>35</v>
      </c>
    </row>
    <row r="8" spans="4:32" ht="26.25" hidden="1" customHeight="1" x14ac:dyDescent="0.15">
      <c r="D8" s="130">
        <v>35</v>
      </c>
    </row>
    <row r="9" spans="4:32" ht="26.25" hidden="1" customHeight="1" x14ac:dyDescent="0.15">
      <c r="D9" s="130">
        <v>35</v>
      </c>
    </row>
    <row r="10" spans="4:32" ht="26.25" hidden="1" customHeight="1" x14ac:dyDescent="0.15">
      <c r="D10" s="130">
        <v>35</v>
      </c>
    </row>
    <row r="11" spans="4:32" ht="26.25" hidden="1" customHeight="1" x14ac:dyDescent="0.15">
      <c r="D11" s="130">
        <v>35</v>
      </c>
    </row>
    <row r="12" spans="4:32" ht="26.25" hidden="1" customHeight="1" x14ac:dyDescent="0.15">
      <c r="D12" s="130">
        <v>35</v>
      </c>
    </row>
    <row r="13" spans="4:32" ht="26.25" hidden="1" customHeight="1" x14ac:dyDescent="0.15">
      <c r="D13" s="130">
        <v>35</v>
      </c>
    </row>
    <row r="14" spans="4:32" ht="26.25" hidden="1" customHeight="1" x14ac:dyDescent="0.15">
      <c r="D14" s="130">
        <v>35</v>
      </c>
    </row>
    <row r="15" spans="4:32" ht="26.25" hidden="1" customHeight="1" x14ac:dyDescent="0.15">
      <c r="D15" s="130">
        <v>35</v>
      </c>
    </row>
    <row r="16" spans="4:32" ht="26.25" hidden="1" customHeight="1" x14ac:dyDescent="0.15">
      <c r="D16" s="130">
        <v>35</v>
      </c>
    </row>
    <row r="17" spans="4:31" ht="26.25" hidden="1" customHeight="1" x14ac:dyDescent="0.15">
      <c r="D17" s="130">
        <v>35</v>
      </c>
    </row>
    <row r="18" spans="4:31" ht="26.25" hidden="1" customHeight="1" x14ac:dyDescent="0.15">
      <c r="D18" s="130">
        <v>35</v>
      </c>
    </row>
    <row r="19" spans="4:31" ht="26.25" hidden="1" customHeight="1" x14ac:dyDescent="0.15">
      <c r="D19" s="130">
        <v>35</v>
      </c>
    </row>
    <row r="20" spans="4:31" ht="15" customHeight="1" x14ac:dyDescent="0.15">
      <c r="D20" s="130">
        <v>20</v>
      </c>
    </row>
    <row r="21" spans="4:31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1" ht="60" customHeight="1" x14ac:dyDescent="0.15">
      <c r="D22" s="130">
        <v>80</v>
      </c>
      <c r="AB22" s="663" t="s">
        <v>1141</v>
      </c>
      <c r="AC22" s="663"/>
      <c r="AD22" s="663"/>
    </row>
    <row r="23" spans="4:31" ht="6" customHeight="1" x14ac:dyDescent="0.15">
      <c r="D23" s="130">
        <v>8</v>
      </c>
    </row>
    <row r="24" spans="4:31" ht="38.25" customHeight="1" x14ac:dyDescent="0.15">
      <c r="D24" s="130">
        <v>51</v>
      </c>
      <c r="AB24" s="31" t="s">
        <v>687</v>
      </c>
      <c r="AC24" s="31" t="s">
        <v>812</v>
      </c>
      <c r="AD24" s="31" t="str">
        <f>IF(PRD="","Не определено",PRD)&amp;" год"</f>
        <v>2025 год</v>
      </c>
      <c r="AE24" s="61" t="str">
        <f>IF(PRD="","Не определено",PRD)&amp;" год"</f>
        <v>2025 год</v>
      </c>
    </row>
    <row r="25" spans="4:31" ht="2.25" customHeight="1" x14ac:dyDescent="0.15">
      <c r="D25" s="130">
        <v>3</v>
      </c>
    </row>
    <row r="26" spans="4:31" ht="5.25" hidden="1" customHeight="1" x14ac:dyDescent="0.15">
      <c r="D26" s="130">
        <v>0</v>
      </c>
    </row>
    <row r="27" spans="4:31" ht="39" customHeight="1" x14ac:dyDescent="0.15">
      <c r="D27" s="130">
        <v>52</v>
      </c>
      <c r="AB27" s="31" t="s">
        <v>112</v>
      </c>
      <c r="AC27" s="40" t="s">
        <v>820</v>
      </c>
      <c r="AD27" s="42">
        <f>AD28+AD29+AD30+AD31</f>
        <v>0</v>
      </c>
      <c r="AE27" s="42">
        <f>SUM(AE28:AE31)</f>
        <v>0</v>
      </c>
    </row>
    <row r="28" spans="4:31" ht="15.75" customHeight="1" x14ac:dyDescent="0.15">
      <c r="D28" s="130">
        <v>21</v>
      </c>
      <c r="AB28" s="31" t="s">
        <v>724</v>
      </c>
      <c r="AC28" s="40" t="s">
        <v>823</v>
      </c>
      <c r="AD28" s="64"/>
      <c r="AE28" s="307">
        <f>AD28</f>
        <v>0</v>
      </c>
    </row>
    <row r="29" spans="4:31" ht="15.75" customHeight="1" x14ac:dyDescent="0.15">
      <c r="D29" s="130">
        <v>21</v>
      </c>
      <c r="AB29" s="31" t="s">
        <v>727</v>
      </c>
      <c r="AC29" s="40" t="s">
        <v>1142</v>
      </c>
      <c r="AD29" s="64"/>
      <c r="AE29" s="307">
        <f>AD29</f>
        <v>0</v>
      </c>
    </row>
    <row r="30" spans="4:31" ht="15.75" customHeight="1" x14ac:dyDescent="0.15">
      <c r="D30" s="130">
        <v>21</v>
      </c>
      <c r="AB30" s="31" t="s">
        <v>769</v>
      </c>
      <c r="AC30" s="40" t="s">
        <v>829</v>
      </c>
      <c r="AD30" s="64"/>
      <c r="AE30" s="307">
        <f>AD30</f>
        <v>0</v>
      </c>
    </row>
    <row r="31" spans="4:31" ht="15.75" customHeight="1" x14ac:dyDescent="0.15">
      <c r="D31" s="130">
        <v>21</v>
      </c>
      <c r="AB31" s="31" t="s">
        <v>832</v>
      </c>
      <c r="AC31" s="40" t="s">
        <v>833</v>
      </c>
      <c r="AD31" s="64"/>
      <c r="AE31" s="307">
        <f>AD31</f>
        <v>0</v>
      </c>
    </row>
    <row r="32" spans="4:31" ht="36" customHeight="1" x14ac:dyDescent="0.15">
      <c r="D32" s="130">
        <v>48</v>
      </c>
      <c r="AB32" s="31" t="s">
        <v>692</v>
      </c>
      <c r="AC32" s="40" t="s">
        <v>1143</v>
      </c>
      <c r="AD32" s="533" t="str">
        <f>IF(AD28=0,"-",ROUND(SUMPRODUCT('ф.8.1 Журнал учета'!$AJ$29:$AJ$249,'ф.8.1 Журнал учета'!$AR$29:$AR$249,--ISNUMBER(SEARCH("В",'ф.8.1 Журнал учета'!$AI$29:$AI$249)),--ISNUMBER(SEARCH(1,'ф.8.1 Журнал учета'!$BB$29:$BB$249)))/AD28,5))</f>
        <v>-</v>
      </c>
      <c r="AE32" s="132" t="str">
        <f>IF(AE28=0,"-",ROUND(SUMPRODUCT('ф.8.1 Журнал учета'!$BT$29:$BT$249,'ф.8.1 Журнал учета'!$BY$29:$BY$249,--ISNUMBER(SEARCH("В",'ф.8.1 Журнал учета'!$BS$29:$BS$249)),--ISNUMBER(SEARCH(1,'ф.8.1 Журнал учета'!$CD$29:$CD$249)))/AE28,5))</f>
        <v>-</v>
      </c>
    </row>
    <row r="33" spans="4:31" ht="37.5" customHeight="1" x14ac:dyDescent="0.15">
      <c r="D33" s="130">
        <v>50</v>
      </c>
      <c r="AB33" s="31" t="s">
        <v>143</v>
      </c>
      <c r="AC33" s="40" t="s">
        <v>839</v>
      </c>
      <c r="AD33" s="132" t="str">
        <f>IF(AD29=0,"-",ROUND(SUMPRODUCT('ф.8.1 Журнал учета'!$AJ$29:$AJ$249,'ф.8.1 Журнал учета'!$AS$29:$AS$249,--ISNUMBER(SEARCH("В",'ф.8.1 Журнал учета'!$AI$29:$AI$249)),--ISNUMBER(SEARCH(1,'ф.8.1 Журнал учета'!$BB$29:$BB$249)))/AD29,5))</f>
        <v>-</v>
      </c>
      <c r="AE33" s="132" t="str">
        <f>IF(AE29=0,"-",ROUND(SUMPRODUCT('ф.8.1 Журнал учета'!$BT$29:$BT$249,'ф.8.1 Журнал учета'!$BZ$29:$BZ$249,--ISNUMBER(SEARCH("В",'ф.8.1 Журнал учета'!$BS$29:$BS$249)),--ISNUMBER(SEARCH(1,'ф.8.1 Журнал учета'!$CD$29:$CD$249)))/AE29,5))</f>
        <v>-</v>
      </c>
    </row>
    <row r="34" spans="4:31" ht="37.5" customHeight="1" x14ac:dyDescent="0.15">
      <c r="D34" s="130">
        <v>50</v>
      </c>
      <c r="AB34" s="31" t="s">
        <v>151</v>
      </c>
      <c r="AC34" s="40" t="s">
        <v>842</v>
      </c>
      <c r="AD34" s="132" t="str">
        <f>IF(AD30=0,"-",ROUND(SUMPRODUCT('ф.8.1 Журнал учета'!$AJ$29:$AJ$249,'ф.8.1 Журнал учета'!$AT$29:$AT$249,--ISNUMBER(SEARCH("В",'ф.8.1 Журнал учета'!$AI$29:$AI$249)),--ISNUMBER(SEARCH(1,'ф.8.1 Журнал учета'!$BB$29:$BB$249)))/AD30,5))</f>
        <v>-</v>
      </c>
      <c r="AE34" s="132" t="str">
        <f>IF(AE30=0,"-",ROUND(SUMPRODUCT('ф.8.1 Журнал учета'!$BT$29:$BT$249,'ф.8.1 Журнал учета'!$CA$29:$CA$249,--ISNUMBER(SEARCH("В",'ф.8.1 Журнал учета'!$BS$29:$BS$249)),--ISNUMBER(SEARCH(1,'ф.8.1 Журнал учета'!$CD$29:$CD$249)))/AE30,5))</f>
        <v>-</v>
      </c>
    </row>
    <row r="35" spans="4:31" ht="37.5" customHeight="1" x14ac:dyDescent="0.15">
      <c r="D35" s="130">
        <v>50</v>
      </c>
      <c r="AB35" s="31" t="s">
        <v>158</v>
      </c>
      <c r="AC35" s="40" t="s">
        <v>1144</v>
      </c>
      <c r="AD35" s="132" t="str">
        <f>IF(AD31=0,"-",ROUND(SUMPRODUCT('ф.8.1 Журнал учета'!$AJ$29:$AJ$249,'ф.8.1 Журнал учета'!$AU$29:$AU$249,--ISNUMBER(SEARCH("В",'ф.8.1 Журнал учета'!$AI$29:$AI$249)),--ISNUMBER(SEARCH(1,'ф.8.1 Журнал учета'!$BB$29:$BB$249)))/AD31,5))</f>
        <v>-</v>
      </c>
      <c r="AE35" s="132" t="str">
        <f>IF(AE31=0,"-",ROUND(SUMPRODUCT('ф.8.1 Журнал учета'!$BT$29:$BT$249,'ф.8.1 Журнал учета'!$CB$29:$CB$249,--ISNUMBER(SEARCH("В",'ф.8.1 Журнал учета'!$BS$29:$BS$249)),--ISNUMBER(SEARCH(1,'ф.8.1 Журнал учета'!$CD$29:$CD$249)))/AE31,5))</f>
        <v>-</v>
      </c>
    </row>
    <row r="36" spans="4:31" ht="27" customHeight="1" x14ac:dyDescent="0.15">
      <c r="D36" s="130">
        <v>36</v>
      </c>
      <c r="AB36" s="31" t="s">
        <v>703</v>
      </c>
      <c r="AC36" s="40" t="s">
        <v>1145</v>
      </c>
      <c r="AD36" s="132" t="str">
        <f>IF(AD28=0,"-",ROUND(SUMIFS('ф.8.1 Журнал учета'!$AR$29:$AR$249,'ф.8.1 Журнал учета'!$AI$29:$AI$249,"В",'ф.8.1 Журнал учета'!$BB$29:$BB$249,"=1")/AD28,5))</f>
        <v>-</v>
      </c>
      <c r="AE36" s="132" t="str">
        <f>IF(AE28=0,"-",ROUND(SUMIFS('ф.8.1 Журнал учета'!$BY$29:$BY$249,'ф.8.1 Журнал учета'!$BS$29:$BS$249,"В",'ф.8.1 Журнал учета'!$CD$29:$CD$249,"=1")/AE28,5))</f>
        <v>-</v>
      </c>
    </row>
    <row r="37" spans="4:31" ht="27" customHeight="1" x14ac:dyDescent="0.15">
      <c r="D37" s="130">
        <v>36</v>
      </c>
      <c r="AB37" s="31" t="s">
        <v>704</v>
      </c>
      <c r="AC37" s="40" t="s">
        <v>1146</v>
      </c>
      <c r="AD37" s="132" t="str">
        <f>IF(AD29=0,"-",ROUND(SUMIFS('ф.8.1 Журнал учета'!$AS$29:$AS$249,'ф.8.1 Журнал учета'!$AI$29:$AI$249,"В",'ф.8.1 Журнал учета'!$BB$29:$BB$249,"=1")/AD29,5))</f>
        <v>-</v>
      </c>
      <c r="AE37" s="132" t="str">
        <f>IF(AE29=0,"-",ROUND(SUMIFS('ф.8.1 Журнал учета'!$BZ$29:$BZ$249,'ф.8.1 Журнал учета'!$BS$29:$BS$249,"В",'ф.8.1 Журнал учета'!$CD$29:$CD$249,"=1")/AE29,5))</f>
        <v>-</v>
      </c>
    </row>
    <row r="38" spans="4:31" ht="27" customHeight="1" x14ac:dyDescent="0.15">
      <c r="D38" s="130">
        <v>36</v>
      </c>
      <c r="AB38" s="31" t="s">
        <v>705</v>
      </c>
      <c r="AC38" s="40" t="s">
        <v>854</v>
      </c>
      <c r="AD38" s="132" t="str">
        <f>IF(AD30=0,"-",ROUND(SUMIFS('ф.8.1 Журнал учета'!$AT$29:$AT$249,'ф.8.1 Журнал учета'!$AI$29:$AI$249,"В",'ф.8.1 Журнал учета'!$BB$29:$BB$249,"=1")/AD30,5))</f>
        <v>-</v>
      </c>
      <c r="AE38" s="132" t="str">
        <f>IF(AE30=0,"-",ROUND(SUMIFS('ф.8.1 Журнал учета'!$CA$29:$CA$249,'ф.8.1 Журнал учета'!$BS$29:$BS$249,"В",'ф.8.1 Журнал учета'!$CD$29:$CD$249,"=1")/AE30,5))</f>
        <v>-</v>
      </c>
    </row>
    <row r="39" spans="4:31" ht="27" customHeight="1" x14ac:dyDescent="0.15">
      <c r="D39" s="130">
        <v>36</v>
      </c>
      <c r="AB39" s="31" t="s">
        <v>706</v>
      </c>
      <c r="AC39" s="40" t="s">
        <v>857</v>
      </c>
      <c r="AD39" s="132" t="str">
        <f>IF(AD31=0,"-",ROUND(SUMIFS('ф.8.1 Журнал учета'!$AU$29:$AU$249,'ф.8.1 Журнал учета'!$AI$29:$AI$249,"В",'ф.8.1 Журнал учета'!$BB$29:$BB$249,"=1")/AD31,5))</f>
        <v>-</v>
      </c>
      <c r="AE39" s="132" t="str">
        <f>IF(AE31=0,"-",ROUND(SUMIFS('ф.8.1 Журнал учета'!$CB$29:$CB$249,'ф.8.1 Журнал учета'!$BS$29:$BS$249,"В",'ф.8.1 Журнал учета'!$CD$29:$CD$249,"=1")/AE31,5))</f>
        <v>-</v>
      </c>
    </row>
    <row r="40" spans="4:31" ht="40.5" customHeight="1" x14ac:dyDescent="0.15">
      <c r="D40" s="130">
        <v>54</v>
      </c>
      <c r="AB40" s="31" t="s">
        <v>707</v>
      </c>
      <c r="AC40" s="40" t="s">
        <v>1147</v>
      </c>
      <c r="AD40" s="62">
        <f>IF(AD27=0,0,SUM('ф.8.1 Журнал учета'!$BG$29:$BG$237)/AD27)</f>
        <v>0</v>
      </c>
      <c r="AE40" s="62">
        <f>IF(AE27=0,0,SUM('ф.8.1 Журнал учета'!$CH$29:$CH$237)/AE27)</f>
        <v>0</v>
      </c>
    </row>
    <row r="41" spans="4:31" ht="37.5" customHeight="1" x14ac:dyDescent="0.15">
      <c r="D41" s="130">
        <v>50</v>
      </c>
      <c r="AB41" s="31" t="s">
        <v>1148</v>
      </c>
      <c r="AC41" s="40" t="s">
        <v>1149</v>
      </c>
      <c r="AD41" s="132" t="str">
        <f>IF(AD28=0,"-",ROUND(SUM('ф.8.1 Журнал учета'!$BI$29:$BI$237)/AD28,5))</f>
        <v>-</v>
      </c>
      <c r="AE41" s="132" t="str">
        <f>IF(AE28=0,"-",ROUND(SUM('ф.8.1 Журнал учета'!$CJ$29:$CJ$237)/AE28,5))</f>
        <v>-</v>
      </c>
    </row>
    <row r="42" spans="4:31" ht="37.5" customHeight="1" x14ac:dyDescent="0.15">
      <c r="D42" s="130">
        <v>50</v>
      </c>
      <c r="AB42" s="31" t="s">
        <v>1150</v>
      </c>
      <c r="AC42" s="40" t="s">
        <v>1151</v>
      </c>
      <c r="AD42" s="132" t="str">
        <f>IF(AD29=0,"-",ROUND(SUM('ф.8.1 Журнал учета'!$BK$29:$BK$237)/AD29,5))</f>
        <v>-</v>
      </c>
      <c r="AE42" s="132" t="str">
        <f>IF(AE29=0,"-",ROUND(SUM('ф.8.1 Журнал учета'!$CL$29:$CL$237)/AE29,5))</f>
        <v>-</v>
      </c>
    </row>
    <row r="43" spans="4:31" ht="37.5" customHeight="1" x14ac:dyDescent="0.15">
      <c r="D43" s="130">
        <v>50</v>
      </c>
      <c r="AB43" s="31" t="s">
        <v>1152</v>
      </c>
      <c r="AC43" s="40" t="s">
        <v>1153</v>
      </c>
      <c r="AD43" s="132" t="str">
        <f>IF(AD30=0,"-",ROUND(SUM('ф.8.1 Журнал учета'!$BM$29:$BM$237)/AD30,5))</f>
        <v>-</v>
      </c>
      <c r="AE43" s="132" t="str">
        <f>IF(AE30=0,"-",ROUND(SUM('ф.8.1 Журнал учета'!$CN$29:$CN$237)/AE30,5))</f>
        <v>-</v>
      </c>
    </row>
    <row r="44" spans="4:31" ht="37.5" customHeight="1" x14ac:dyDescent="0.15">
      <c r="D44" s="130">
        <v>50</v>
      </c>
      <c r="AB44" s="31" t="s">
        <v>1154</v>
      </c>
      <c r="AC44" s="40" t="s">
        <v>1155</v>
      </c>
      <c r="AD44" s="132" t="str">
        <f>IF(AD31=0,"-",ROUND(SUM('ф.8.1 Журнал учета'!$BO$29:$BO$237)/AD31,5))</f>
        <v>-</v>
      </c>
      <c r="AE44" s="132" t="str">
        <f>IF(AE31=0,"-",ROUND(SUM('ф.8.1 Журнал учета'!$CP$29:$CP$237)/AE31,5))</f>
        <v>-</v>
      </c>
    </row>
    <row r="45" spans="4:31" ht="37.5" customHeight="1" x14ac:dyDescent="0.15">
      <c r="D45" s="130">
        <v>50</v>
      </c>
      <c r="AB45" s="31" t="s">
        <v>708</v>
      </c>
      <c r="AC45" s="40" t="s">
        <v>1156</v>
      </c>
      <c r="AD45" s="62">
        <f>IF(AD27=0,0,SUM('ф.8.1 Журнал учета'!$BH$29:$BH$237)/AD27)</f>
        <v>0</v>
      </c>
      <c r="AE45" s="62">
        <f>IF(AE27=0,0,SUM('ф.8.1 Журнал учета'!$CI$29:$CI$237)/AE27)</f>
        <v>0</v>
      </c>
    </row>
    <row r="46" spans="4:31" ht="27" customHeight="1" x14ac:dyDescent="0.15">
      <c r="D46" s="130">
        <v>36</v>
      </c>
      <c r="AB46" s="31" t="s">
        <v>1157</v>
      </c>
      <c r="AC46" s="40" t="s">
        <v>1158</v>
      </c>
      <c r="AD46" s="132" t="str">
        <f>IF(AD28=0,"-",ROUND(SUM('ф.8.1 Журнал учета'!$BJ$29:$BJ$237)/AD28,5))</f>
        <v>-</v>
      </c>
      <c r="AE46" s="132" t="str">
        <f>IF(AE28=0,"-",ROUND(SUM('ф.8.1 Журнал учета'!$CK$29:$CK$237)/AE28,5))</f>
        <v>-</v>
      </c>
    </row>
    <row r="47" spans="4:31" ht="37.5" customHeight="1" x14ac:dyDescent="0.15">
      <c r="D47" s="130">
        <v>50</v>
      </c>
      <c r="AB47" s="31" t="s">
        <v>1159</v>
      </c>
      <c r="AC47" s="40" t="s">
        <v>1160</v>
      </c>
      <c r="AD47" s="132" t="str">
        <f>IF(AD29=0,"-",ROUND(SUM('ф.8.1 Журнал учета'!$BL$29:$BL$237)/AD29,5))</f>
        <v>-</v>
      </c>
      <c r="AE47" s="132" t="str">
        <f>IF(AE29=0,"-",ROUND(SUM('ф.8.1 Журнал учета'!$CM$29:$CM$237)/AE29,5))</f>
        <v>-</v>
      </c>
    </row>
    <row r="48" spans="4:31" ht="37.5" customHeight="1" x14ac:dyDescent="0.15">
      <c r="D48" s="130">
        <v>50</v>
      </c>
      <c r="AB48" s="31" t="s">
        <v>1161</v>
      </c>
      <c r="AC48" s="40" t="s">
        <v>1162</v>
      </c>
      <c r="AD48" s="132" t="str">
        <f>IF(AD30=0,"-",ROUND(SUM('ф.8.1 Журнал учета'!$BN$29:$BN$237)/AD30,5))</f>
        <v>-</v>
      </c>
      <c r="AE48" s="132" t="str">
        <f>IF(AE30=0,"-",ROUND(SUM('ф.8.1 Журнал учета'!$CO$29:$CO$237)/AE30,5))</f>
        <v>-</v>
      </c>
    </row>
    <row r="49" spans="4:32" ht="37.5" customHeight="1" x14ac:dyDescent="0.15">
      <c r="D49" s="130">
        <v>50</v>
      </c>
      <c r="AB49" s="31" t="s">
        <v>1163</v>
      </c>
      <c r="AC49" s="40" t="s">
        <v>1164</v>
      </c>
      <c r="AD49" s="132" t="str">
        <f>IF(AD31=0,"-",ROUND(SUM('ф.8.1 Журнал учета'!$BP$29:$BP$237)/AD31,5))</f>
        <v>-</v>
      </c>
      <c r="AE49" s="132" t="str">
        <f>IF(AE31=0,"-",ROUND(SUM('ф.8.1 Журнал учета'!$CQ$29:$CQ$237)/AE31,5))</f>
        <v>-</v>
      </c>
    </row>
    <row r="50" spans="4:32" ht="12" customHeight="1" x14ac:dyDescent="0.15">
      <c r="D50" s="130">
        <v>16</v>
      </c>
      <c r="AB50" s="641"/>
      <c r="AC50" s="641"/>
    </row>
    <row r="51" spans="4:32" ht="47.25" customHeight="1" x14ac:dyDescent="0.15">
      <c r="D51" s="130">
        <v>63</v>
      </c>
      <c r="AB51" s="47"/>
      <c r="AC51" s="18" t="str">
        <f>IF(LEN(ruk_dol)=0,"",ruk_dol)</f>
        <v>Генеральный директор</v>
      </c>
      <c r="AD51" s="534" t="str">
        <f>IF(LEN(ruk_FIO)=0,"",ruk_FIO)</f>
        <v>Шохин Александр Ефимович</v>
      </c>
    </row>
    <row r="52" spans="4:32" ht="15.75" customHeight="1" x14ac:dyDescent="0.15">
      <c r="D52" s="130">
        <v>21</v>
      </c>
      <c r="AC52" s="49" t="s">
        <v>652</v>
      </c>
      <c r="AD52" s="52" t="s">
        <v>757</v>
      </c>
      <c r="AE52" s="49" t="s">
        <v>758</v>
      </c>
    </row>
    <row r="53" spans="4:32" ht="11.25" hidden="1" customHeight="1" x14ac:dyDescent="0.15">
      <c r="D53" s="131">
        <v>0</v>
      </c>
      <c r="AF53" t="s">
        <v>71</v>
      </c>
    </row>
  </sheetData>
  <sheetProtection formatColumns="0" formatRows="0" insertRows="0" deleteColumns="0" deleteRows="0" sort="0" autoFilter="0"/>
  <mergeCells count="3">
    <mergeCell ref="AB22:AD22"/>
    <mergeCell ref="AB50:AC50"/>
    <mergeCell ref="AB21:AD21"/>
  </mergeCells>
  <pageMargins left="0.67" right="0.51" top="0.47" bottom="0.4" header="0.2" footer="0.2"/>
  <pageSetup paperSize="9" scale="93" fitToHeight="2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showGridLines="0" topLeftCell="AA20" workbookViewId="0">
      <selection activeCell="AD42" sqref="AD42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7" style="166" customWidth="1"/>
    <col min="29" max="29" width="74" style="166" customWidth="1"/>
    <col min="30" max="30" width="12.42578125" style="166" customWidth="1"/>
    <col min="31" max="31" width="15" style="166" hidden="1" customWidth="1"/>
    <col min="32" max="32" width="9.140625" hidden="1"/>
  </cols>
  <sheetData>
    <row r="1" spans="4:32" ht="22.5" hidden="1" customHeight="1" x14ac:dyDescent="0.15"/>
    <row r="2" spans="4:32" ht="12.75" hidden="1" customHeight="1" x14ac:dyDescent="0.15">
      <c r="AE2" s="20" t="b">
        <f>REPORT_OWNER="Версия регулятора"</f>
        <v>0</v>
      </c>
    </row>
    <row r="3" spans="4:32" ht="11.25" hidden="1" customHeight="1" x14ac:dyDescent="0.15"/>
    <row r="4" spans="4:32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49</v>
      </c>
      <c r="AC4" s="130">
        <v>459</v>
      </c>
      <c r="AD4" s="130">
        <v>87</v>
      </c>
      <c r="AE4" s="130">
        <v>105</v>
      </c>
      <c r="AF4" s="131">
        <v>0</v>
      </c>
    </row>
    <row r="5" spans="4:32" ht="26.25" hidden="1" customHeight="1" x14ac:dyDescent="0.15">
      <c r="D5" s="130">
        <v>35</v>
      </c>
    </row>
    <row r="6" spans="4:32" ht="26.25" hidden="1" customHeight="1" x14ac:dyDescent="0.15">
      <c r="D6" s="130">
        <v>35</v>
      </c>
    </row>
    <row r="7" spans="4:32" ht="26.25" hidden="1" customHeight="1" x14ac:dyDescent="0.15">
      <c r="D7" s="130">
        <v>35</v>
      </c>
    </row>
    <row r="8" spans="4:32" ht="26.25" hidden="1" customHeight="1" x14ac:dyDescent="0.15">
      <c r="D8" s="130">
        <v>35</v>
      </c>
    </row>
    <row r="9" spans="4:32" ht="26.25" hidden="1" customHeight="1" x14ac:dyDescent="0.15">
      <c r="D9" s="130">
        <v>35</v>
      </c>
    </row>
    <row r="10" spans="4:32" ht="26.25" hidden="1" customHeight="1" x14ac:dyDescent="0.15">
      <c r="D10" s="130">
        <v>35</v>
      </c>
    </row>
    <row r="11" spans="4:32" ht="26.25" hidden="1" customHeight="1" x14ac:dyDescent="0.15">
      <c r="D11" s="130">
        <v>35</v>
      </c>
    </row>
    <row r="12" spans="4:32" ht="26.25" hidden="1" customHeight="1" x14ac:dyDescent="0.15">
      <c r="D12" s="130">
        <v>35</v>
      </c>
    </row>
    <row r="13" spans="4:32" ht="26.25" hidden="1" customHeight="1" x14ac:dyDescent="0.15">
      <c r="D13" s="130">
        <v>35</v>
      </c>
    </row>
    <row r="14" spans="4:32" ht="26.25" hidden="1" customHeight="1" x14ac:dyDescent="0.15">
      <c r="D14" s="130">
        <v>35</v>
      </c>
    </row>
    <row r="15" spans="4:32" ht="26.25" hidden="1" customHeight="1" x14ac:dyDescent="0.15">
      <c r="D15" s="130">
        <v>35</v>
      </c>
    </row>
    <row r="16" spans="4:32" ht="26.25" hidden="1" customHeight="1" x14ac:dyDescent="0.15">
      <c r="D16" s="130">
        <v>35</v>
      </c>
    </row>
    <row r="17" spans="4:31" ht="26.25" hidden="1" customHeight="1" x14ac:dyDescent="0.15">
      <c r="D17" s="130">
        <v>35</v>
      </c>
    </row>
    <row r="18" spans="4:31" ht="26.25" hidden="1" customHeight="1" x14ac:dyDescent="0.15">
      <c r="D18" s="130">
        <v>35</v>
      </c>
    </row>
    <row r="19" spans="4:31" ht="26.25" hidden="1" customHeight="1" x14ac:dyDescent="0.15">
      <c r="D19" s="130">
        <v>35</v>
      </c>
    </row>
    <row r="20" spans="4:31" ht="15" customHeight="1" x14ac:dyDescent="0.15">
      <c r="D20" s="130">
        <v>20</v>
      </c>
    </row>
    <row r="21" spans="4:31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1" ht="60" customHeight="1" x14ac:dyDescent="0.15">
      <c r="D22" s="130">
        <v>80</v>
      </c>
      <c r="AB22" s="663" t="s">
        <v>1165</v>
      </c>
      <c r="AC22" s="663"/>
      <c r="AD22" s="663"/>
    </row>
    <row r="23" spans="4:31" ht="6" customHeight="1" x14ac:dyDescent="0.15">
      <c r="D23" s="130">
        <v>8</v>
      </c>
    </row>
    <row r="24" spans="4:31" ht="38.25" customHeight="1" x14ac:dyDescent="0.15">
      <c r="D24" s="130">
        <v>51</v>
      </c>
      <c r="AB24" s="31" t="s">
        <v>687</v>
      </c>
      <c r="AC24" s="31" t="s">
        <v>812</v>
      </c>
      <c r="AD24" s="31" t="str">
        <f>IF(PRD="","Не определено",PRD)&amp;" год"</f>
        <v>2025 год</v>
      </c>
      <c r="AE24" s="61" t="str">
        <f>IF(PRD="","Не определено",PRD)&amp;" год"</f>
        <v>2025 год</v>
      </c>
    </row>
    <row r="25" spans="4:31" ht="2.25" customHeight="1" x14ac:dyDescent="0.15">
      <c r="D25" s="130">
        <v>3</v>
      </c>
    </row>
    <row r="26" spans="4:31" ht="5.25" hidden="1" customHeight="1" x14ac:dyDescent="0.15">
      <c r="D26" s="130">
        <v>0</v>
      </c>
    </row>
    <row r="27" spans="4:31" ht="39" customHeight="1" x14ac:dyDescent="0.15">
      <c r="D27" s="130">
        <v>52</v>
      </c>
      <c r="AB27" s="31" t="s">
        <v>112</v>
      </c>
      <c r="AC27" s="40" t="s">
        <v>820</v>
      </c>
      <c r="AD27" s="42">
        <f>AD28+AD29+AD30+AD31</f>
        <v>1500</v>
      </c>
      <c r="AE27" s="42">
        <f>SUM(AE28:AE31)</f>
        <v>1500</v>
      </c>
    </row>
    <row r="28" spans="4:31" ht="15.75" customHeight="1" x14ac:dyDescent="0.15">
      <c r="D28" s="130">
        <v>21</v>
      </c>
      <c r="AB28" s="31" t="s">
        <v>724</v>
      </c>
      <c r="AC28" s="40" t="s">
        <v>823</v>
      </c>
      <c r="AD28" s="42">
        <f>'ф.1.3.1 Ср.продолж.'!AD27</f>
        <v>4</v>
      </c>
      <c r="AE28" s="307">
        <f>'ф.1.3.1 Ср.продолж.'!AE27</f>
        <v>4</v>
      </c>
    </row>
    <row r="29" spans="4:31" ht="15.75" customHeight="1" x14ac:dyDescent="0.15">
      <c r="D29" s="130">
        <v>21</v>
      </c>
      <c r="AB29" s="31" t="s">
        <v>727</v>
      </c>
      <c r="AC29" s="40" t="s">
        <v>1142</v>
      </c>
      <c r="AD29" s="42">
        <f>'ф.1.3.1 Ср.продолж.'!AD28</f>
        <v>9</v>
      </c>
      <c r="AE29" s="307">
        <f>'ф.1.3.1 Ср.продолж.'!AE28</f>
        <v>9</v>
      </c>
    </row>
    <row r="30" spans="4:31" ht="15.75" customHeight="1" x14ac:dyDescent="0.15">
      <c r="D30" s="130">
        <v>21</v>
      </c>
      <c r="AB30" s="31" t="s">
        <v>769</v>
      </c>
      <c r="AC30" s="40" t="s">
        <v>829</v>
      </c>
      <c r="AD30" s="42">
        <f>'ф.1.3.1 Ср.продолж.'!AD29</f>
        <v>309</v>
      </c>
      <c r="AE30" s="307">
        <f>'ф.1.3.1 Ср.продолж.'!AE29</f>
        <v>309</v>
      </c>
    </row>
    <row r="31" spans="4:31" ht="15.75" customHeight="1" x14ac:dyDescent="0.15">
      <c r="D31" s="130">
        <v>21</v>
      </c>
      <c r="AB31" s="31" t="s">
        <v>832</v>
      </c>
      <c r="AC31" s="40" t="s">
        <v>833</v>
      </c>
      <c r="AD31" s="42">
        <f>'ф.1.3.1 Ср.продолж.'!AD30</f>
        <v>1178</v>
      </c>
      <c r="AE31" s="307">
        <f>'ф.1.3.1 Ср.продолж.'!AE30</f>
        <v>1178</v>
      </c>
    </row>
    <row r="32" spans="4:31" ht="36" customHeight="1" x14ac:dyDescent="0.15">
      <c r="D32" s="130">
        <v>48</v>
      </c>
      <c r="AB32" s="31" t="s">
        <v>692</v>
      </c>
      <c r="AC32" s="40" t="s">
        <v>1166</v>
      </c>
      <c r="AD32" s="62">
        <f>IF(AD27=0,0,SUMPRODUCT('ф.8.1 Журнал учета'!$AJ$29:$AJ$249,'ф.8.1 Журнал учета'!$AN$29:$AN$249,--ISNUMBER(SEARCH("В",'ф.8.1 Журнал учета'!$AI$29:$AI$249)),--ISNUMBER(SEARCH(1,'ф.8.1 Журнал учета'!$BB$29:$BB$249)))/AD27)</f>
        <v>1.4166666666627843E-2</v>
      </c>
      <c r="AE32" s="62">
        <f>IF(AE27=0,0,SUMPRODUCT('ф.8.1 Журнал учета'!$BT$29:$BT$249,'ф.8.1 Журнал учета'!$BU$29:$BU$249,--ISNUMBER(SEARCH("В",'ф.8.1 Журнал учета'!$BS$29:$BS$249)),--ISNUMBER(SEARCH(1,'ф.8.1 Журнал учета'!$CD$29:$CD$249)))/AE27)</f>
        <v>1.4166666666627843E-2</v>
      </c>
    </row>
    <row r="33" spans="4:32" ht="27" customHeight="1" x14ac:dyDescent="0.15">
      <c r="D33" s="130">
        <v>36</v>
      </c>
      <c r="AB33" s="31" t="s">
        <v>143</v>
      </c>
      <c r="AC33" s="40" t="s">
        <v>1167</v>
      </c>
      <c r="AD33" s="62">
        <f>IF(AD27=0,0,SUMIFS('ф.8.1 Журнал учета'!$AN$29:$AN$249,'ф.8.1 Журнал учета'!$AI$29:$AI$249,"В",'ф.8.1 Журнал учета'!$BB$29:$BB$249,"=1")/AD27)</f>
        <v>4.6666666666666671E-3</v>
      </c>
      <c r="AE33" s="62">
        <f>IF(AE27=0,0,SUMIFS('ф.8.1 Журнал учета'!$BU$29:$BU$249,'ф.8.1 Журнал учета'!$BS$29:$BS$249,"В",'ф.8.1 Журнал учета'!$CD$29:$CD$249,"=1")/AE27)</f>
        <v>4.6666666666666671E-3</v>
      </c>
    </row>
    <row r="34" spans="4:32" ht="36" customHeight="1" x14ac:dyDescent="0.15">
      <c r="D34" s="130">
        <v>48</v>
      </c>
      <c r="AB34" s="31" t="s">
        <v>151</v>
      </c>
      <c r="AC34" s="40" t="s">
        <v>1147</v>
      </c>
      <c r="AD34" s="62">
        <f>IF(AD27=0,0,SUM('ф.8.1 Журнал учета'!$BG$29:$BG$237)/AD27)</f>
        <v>0.39802222222299305</v>
      </c>
      <c r="AE34" s="62">
        <f>IF(AE27=0,0,SUM('ф.8.1 Журнал учета'!$CH$29:$CH$237)/AE27)</f>
        <v>0.39802222222299305</v>
      </c>
    </row>
    <row r="35" spans="4:32" ht="27" customHeight="1" x14ac:dyDescent="0.15">
      <c r="D35" s="130">
        <v>36</v>
      </c>
      <c r="AB35" s="31" t="s">
        <v>779</v>
      </c>
      <c r="AC35" s="40" t="s">
        <v>1149</v>
      </c>
      <c r="AD35" s="132">
        <f>IF(AD28=0,"-",ROUND(SUM('ф.8.1 Журнал учета'!$BI$29:$BI$237)/AD28,5))</f>
        <v>0</v>
      </c>
      <c r="AE35" s="132">
        <f>IF(AE28=0,"-",ROUND(SUM('ф.8.1 Журнал учета'!$CJ$29:$CJ$237)/AE28,5))</f>
        <v>0</v>
      </c>
    </row>
    <row r="36" spans="4:32" ht="27" customHeight="1" x14ac:dyDescent="0.15">
      <c r="D36" s="130">
        <v>36</v>
      </c>
      <c r="AB36" s="31" t="s">
        <v>1168</v>
      </c>
      <c r="AC36" s="40" t="s">
        <v>1151</v>
      </c>
      <c r="AD36" s="132">
        <f>IF(AD29=0,"-",ROUND(SUM('ф.8.1 Журнал учета'!$BK$29:$BK$237)/AD29,5))</f>
        <v>0</v>
      </c>
      <c r="AE36" s="132">
        <f>IF(AE29=0,"-",ROUND(SUM('ф.8.1 Журнал учета'!$CL$29:$CL$237)/AE29,5))</f>
        <v>0</v>
      </c>
    </row>
    <row r="37" spans="4:32" ht="27" customHeight="1" x14ac:dyDescent="0.15">
      <c r="D37" s="130">
        <v>36</v>
      </c>
      <c r="AB37" s="31" t="s">
        <v>1169</v>
      </c>
      <c r="AC37" s="40" t="s">
        <v>1153</v>
      </c>
      <c r="AD37" s="132">
        <f>IF(AD30=0,"-",ROUND(SUM('ф.8.1 Журнал учета'!$BM$29:$BM$237)/AD30,5))</f>
        <v>1.93215</v>
      </c>
      <c r="AE37" s="132">
        <f>IF(AE30=0,"-",ROUND(SUM('ф.8.1 Журнал учета'!$CN$29:$CN$237)/AE30,5))</f>
        <v>1.93215</v>
      </c>
    </row>
    <row r="38" spans="4:32" ht="27" customHeight="1" x14ac:dyDescent="0.15">
      <c r="D38" s="130">
        <v>36</v>
      </c>
      <c r="AB38" s="31" t="s">
        <v>1170</v>
      </c>
      <c r="AC38" s="40" t="s">
        <v>1171</v>
      </c>
      <c r="AD38" s="132">
        <f>IF(AD31=0,"-",ROUND(SUM('ф.8.1 Журнал учета'!$BO$29:$BO$237)/AD31,5))</f>
        <v>0</v>
      </c>
      <c r="AE38" s="132">
        <f>IF(AE31=0,"-",ROUND(SUM('ф.8.1 Журнал учета'!$CP$29:$CP$237)/AE31,5))</f>
        <v>0</v>
      </c>
    </row>
    <row r="39" spans="4:32" ht="36" customHeight="1" x14ac:dyDescent="0.15">
      <c r="D39" s="130">
        <v>48</v>
      </c>
      <c r="AB39" s="31" t="s">
        <v>158</v>
      </c>
      <c r="AC39" s="40" t="s">
        <v>1156</v>
      </c>
      <c r="AD39" s="62">
        <f>IF(AD27=0,0,SUM('ф.8.1 Журнал учета'!$BH$29:$BH$237)/AD27)</f>
        <v>0.12133333333333333</v>
      </c>
      <c r="AE39" s="62">
        <f>IF(AE27=0,0,SUM('ф.8.1 Журнал учета'!$CI$29:$CI$237)/AE27)</f>
        <v>0.12133333333333333</v>
      </c>
    </row>
    <row r="40" spans="4:32" ht="40.5" customHeight="1" x14ac:dyDescent="0.15">
      <c r="D40" s="130">
        <v>54</v>
      </c>
      <c r="AB40" s="31" t="s">
        <v>749</v>
      </c>
      <c r="AC40" s="40" t="s">
        <v>1158</v>
      </c>
      <c r="AD40" s="132">
        <f>IF(AD28=0,"-",ROUND(SUM('ф.8.1 Журнал учета'!$BJ$29:$BJ$237)/AD28,5))</f>
        <v>0</v>
      </c>
      <c r="AE40" s="132">
        <f>IF(AE28=0,"-",ROUND(SUM('ф.8.1 Журнал учета'!$CK$29:$CK$237)/AE28,5))</f>
        <v>0</v>
      </c>
    </row>
    <row r="41" spans="4:32" ht="27" customHeight="1" x14ac:dyDescent="0.15">
      <c r="D41" s="130">
        <v>36</v>
      </c>
      <c r="AB41" s="31" t="s">
        <v>807</v>
      </c>
      <c r="AC41" s="40" t="s">
        <v>1160</v>
      </c>
      <c r="AD41" s="132">
        <f>IF(AD29=0,"-",ROUND(SUM('ф.8.1 Журнал учета'!$BL$29:$BL$237)/AD29,5))</f>
        <v>0</v>
      </c>
      <c r="AE41" s="132">
        <f>IF(AE29=0,"-",ROUND(SUM('ф.8.1 Журнал учета'!$CM$29:$CM$237)/AE29,5))</f>
        <v>0</v>
      </c>
    </row>
    <row r="42" spans="4:32" ht="27" customHeight="1" x14ac:dyDescent="0.15">
      <c r="D42" s="130">
        <v>36</v>
      </c>
      <c r="AB42" s="31" t="s">
        <v>1172</v>
      </c>
      <c r="AC42" s="40" t="s">
        <v>1162</v>
      </c>
      <c r="AD42" s="132">
        <f>IF(AD30=0,"-",ROUND(SUM('ф.8.1 Журнал учета'!$BN$29:$BN$237)/AD30,5))</f>
        <v>0.58899999999999997</v>
      </c>
      <c r="AE42" s="132">
        <f>IF(AE30=0,"-",ROUND(SUM('ф.8.1 Журнал учета'!$CO$29:$CO$237)/AE30,5))</f>
        <v>0.58899999999999997</v>
      </c>
    </row>
    <row r="43" spans="4:32" ht="27" customHeight="1" x14ac:dyDescent="0.15">
      <c r="D43" s="130">
        <v>36</v>
      </c>
      <c r="AB43" s="31" t="s">
        <v>1173</v>
      </c>
      <c r="AC43" s="40" t="s">
        <v>1174</v>
      </c>
      <c r="AD43" s="132">
        <f>IF(AD31=0,"-",ROUND(SUM('ф.8.1 Журнал учета'!$BP$29:$BP$237)/AD31,5))</f>
        <v>0</v>
      </c>
      <c r="AE43" s="132">
        <f>IF(AE31=0,"-",ROUND(SUM('ф.8.1 Журнал учета'!$CQ$29:$CQ$237)/AE31,5))</f>
        <v>0</v>
      </c>
    </row>
    <row r="44" spans="4:32" ht="12" customHeight="1" x14ac:dyDescent="0.15">
      <c r="D44" s="130">
        <v>16</v>
      </c>
      <c r="AB44" s="641"/>
      <c r="AC44" s="641"/>
    </row>
    <row r="45" spans="4:32" ht="47.25" customHeight="1" x14ac:dyDescent="0.15">
      <c r="D45" s="130">
        <v>63</v>
      </c>
      <c r="AB45" s="47"/>
      <c r="AC45" s="18" t="str">
        <f>IF(LEN(ruk_dol)=0,"",ruk_dol)</f>
        <v>Генеральный директор</v>
      </c>
      <c r="AD45" s="74" t="str">
        <f>IF(LEN(ruk_FIO)=0,"",ruk_FIO)</f>
        <v>Шохин Александр Ефимович</v>
      </c>
    </row>
    <row r="46" spans="4:32" ht="15.75" customHeight="1" x14ac:dyDescent="0.15">
      <c r="D46" s="130">
        <v>21</v>
      </c>
      <c r="AC46" s="49" t="s">
        <v>652</v>
      </c>
      <c r="AD46" s="52" t="s">
        <v>757</v>
      </c>
      <c r="AE46" s="49" t="s">
        <v>758</v>
      </c>
    </row>
    <row r="47" spans="4:32" ht="11.25" hidden="1" customHeight="1" x14ac:dyDescent="0.15">
      <c r="D47" s="131">
        <v>0</v>
      </c>
      <c r="AF47" s="23" t="s">
        <v>71</v>
      </c>
    </row>
  </sheetData>
  <sheetProtection formatColumns="0" formatRows="0" insertRows="0" deleteColumns="0" deleteRows="0" sort="0" autoFilter="0"/>
  <mergeCells count="3">
    <mergeCell ref="AB22:AD22"/>
    <mergeCell ref="AB44:AC44"/>
    <mergeCell ref="AB21:AD21"/>
  </mergeCells>
  <pageMargins left="0.67" right="0.51" top="0.47" bottom="0.4" header="0.2" footer="0.2"/>
  <pageSetup paperSize="9" scale="93" fitToHeight="2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topLeftCell="AA20" workbookViewId="0">
      <selection activeCell="AA20" sqref="AA20"/>
    </sheetView>
  </sheetViews>
  <sheetFormatPr defaultRowHeight="11.25" customHeight="1" x14ac:dyDescent="0.15"/>
  <cols>
    <col min="1" max="1" width="6.85546875" style="166" hidden="1" customWidth="1"/>
    <col min="2" max="2" width="5.42578125" style="166" hidden="1" customWidth="1"/>
    <col min="3" max="3" width="9.140625" style="166" hidden="1"/>
    <col min="4" max="4" width="2.42578125" style="114" hidden="1" customWidth="1"/>
    <col min="5" max="26" width="9.140625" style="166" hidden="1"/>
    <col min="27" max="27" width="3.7109375" style="166" customWidth="1"/>
    <col min="28" max="28" width="7.28515625" style="166" customWidth="1"/>
    <col min="29" max="29" width="18.85546875" style="166" customWidth="1"/>
    <col min="30" max="30" width="11.85546875" style="166" customWidth="1"/>
    <col min="31" max="31" width="26.85546875" style="166" customWidth="1"/>
    <col min="32" max="32" width="13.7109375" style="166" customWidth="1"/>
    <col min="33" max="33" width="12" style="166" customWidth="1"/>
    <col min="34" max="34" width="11.5703125" style="166" customWidth="1"/>
    <col min="35" max="35" width="30.140625" style="166" customWidth="1"/>
    <col min="36" max="36" width="16.140625" style="166" customWidth="1"/>
    <col min="37" max="37" width="14.42578125" style="166" customWidth="1"/>
    <col min="38" max="38" width="14.28515625" style="166" customWidth="1"/>
    <col min="39" max="39" width="12.140625" style="166" customWidth="1"/>
    <col min="40" max="40" width="12.42578125" style="166" customWidth="1"/>
    <col min="41" max="42" width="13.28515625" style="166" customWidth="1"/>
    <col min="43" max="43" width="10" style="166" customWidth="1"/>
    <col min="44" max="44" width="11.28515625" style="166" customWidth="1"/>
    <col min="45" max="45" width="14.42578125" style="166" customWidth="1"/>
    <col min="46" max="46" width="24.7109375" style="166" customWidth="1"/>
    <col min="47" max="47" width="12.5703125" style="166" hidden="1" customWidth="1"/>
    <col min="48" max="48" width="13.5703125" style="166" hidden="1" customWidth="1"/>
    <col min="49" max="49" width="13.85546875" style="166" hidden="1" customWidth="1"/>
    <col min="50" max="50" width="13.140625" style="166" hidden="1" customWidth="1"/>
    <col min="51" max="51" width="11.7109375" style="166" hidden="1" customWidth="1"/>
    <col min="52" max="52" width="11.85546875" style="166" hidden="1" customWidth="1"/>
    <col min="53" max="53" width="24.7109375" style="166" hidden="1" customWidth="1"/>
    <col min="54" max="55" width="9.140625" hidden="1"/>
  </cols>
  <sheetData>
    <row r="1" spans="1:55" ht="12.75" hidden="1" customHeight="1" x14ac:dyDescent="0.15">
      <c r="A1" s="182"/>
      <c r="B1" s="182"/>
      <c r="C1" s="182"/>
      <c r="D1" s="136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 t="s">
        <v>681</v>
      </c>
      <c r="AB1" s="182" t="s">
        <v>682</v>
      </c>
      <c r="AC1" t="s">
        <v>683</v>
      </c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t="s">
        <v>685</v>
      </c>
      <c r="BC1" s="122"/>
    </row>
    <row r="2" spans="1:55" ht="12.75" hidden="1" customHeight="1" x14ac:dyDescent="0.15">
      <c r="A2" s="182"/>
      <c r="B2" s="182"/>
      <c r="C2" s="182"/>
      <c r="D2" s="136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535" t="b">
        <f t="shared" ref="AU2:BA2" si="0">REPORT_OWNER="Версия регулятора"</f>
        <v>0</v>
      </c>
      <c r="AV2" s="535" t="b">
        <f t="shared" si="0"/>
        <v>0</v>
      </c>
      <c r="AW2" s="535" t="b">
        <f t="shared" si="0"/>
        <v>0</v>
      </c>
      <c r="AX2" s="535" t="b">
        <f t="shared" si="0"/>
        <v>0</v>
      </c>
      <c r="AY2" s="535" t="b">
        <f t="shared" si="0"/>
        <v>0</v>
      </c>
      <c r="AZ2" s="535" t="b">
        <f t="shared" si="0"/>
        <v>0</v>
      </c>
      <c r="BA2" s="535" t="b">
        <f t="shared" si="0"/>
        <v>0</v>
      </c>
      <c r="BC2" s="122"/>
    </row>
    <row r="3" spans="1:55" ht="11.25" hidden="1" customHeight="1" x14ac:dyDescent="0.15">
      <c r="A3" s="182"/>
      <c r="B3" s="182"/>
      <c r="C3" s="182"/>
      <c r="D3" s="136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C3" s="122"/>
    </row>
    <row r="4" spans="1:55" s="114" customFormat="1" ht="12.75" hidden="1" customHeight="1" x14ac:dyDescent="0.15">
      <c r="A4" s="536"/>
      <c r="B4" s="536"/>
      <c r="C4" s="536"/>
      <c r="D4" s="136"/>
      <c r="E4" s="136">
        <v>61</v>
      </c>
      <c r="F4" s="136">
        <v>61</v>
      </c>
      <c r="G4" s="136">
        <v>61</v>
      </c>
      <c r="H4" s="136">
        <v>61</v>
      </c>
      <c r="I4" s="136">
        <v>61</v>
      </c>
      <c r="J4" s="136">
        <v>61</v>
      </c>
      <c r="K4" s="136">
        <v>61</v>
      </c>
      <c r="L4" s="136">
        <v>61</v>
      </c>
      <c r="M4" s="136">
        <v>61</v>
      </c>
      <c r="N4" s="136">
        <v>61</v>
      </c>
      <c r="O4" s="136">
        <v>61</v>
      </c>
      <c r="P4" s="136">
        <v>61</v>
      </c>
      <c r="Q4" s="136">
        <v>61</v>
      </c>
      <c r="R4" s="136">
        <v>61</v>
      </c>
      <c r="S4" s="136">
        <v>61</v>
      </c>
      <c r="T4" s="136">
        <v>61</v>
      </c>
      <c r="U4" s="136">
        <v>61</v>
      </c>
      <c r="V4" s="136">
        <v>61</v>
      </c>
      <c r="W4" s="136">
        <v>61</v>
      </c>
      <c r="X4" s="136">
        <v>61</v>
      </c>
      <c r="Y4" s="136">
        <v>61</v>
      </c>
      <c r="Z4" s="136">
        <v>61</v>
      </c>
      <c r="AA4" s="136">
        <v>26</v>
      </c>
      <c r="AB4" s="183">
        <v>51</v>
      </c>
      <c r="AC4" s="537">
        <v>132</v>
      </c>
      <c r="AD4" s="183">
        <v>83</v>
      </c>
      <c r="AE4" s="183">
        <v>188</v>
      </c>
      <c r="AF4" s="183">
        <v>96</v>
      </c>
      <c r="AG4" s="183">
        <v>84</v>
      </c>
      <c r="AH4" s="183">
        <v>81</v>
      </c>
      <c r="AI4" s="183">
        <v>211</v>
      </c>
      <c r="AJ4" s="183">
        <v>113</v>
      </c>
      <c r="AK4" s="183">
        <v>101</v>
      </c>
      <c r="AL4" s="183">
        <v>100</v>
      </c>
      <c r="AM4" s="183">
        <v>85</v>
      </c>
      <c r="AN4" s="183">
        <v>87</v>
      </c>
      <c r="AO4" s="183">
        <v>93</v>
      </c>
      <c r="AP4" s="183">
        <v>93</v>
      </c>
      <c r="AQ4" s="183">
        <v>70</v>
      </c>
      <c r="AR4" s="183">
        <v>79</v>
      </c>
      <c r="AS4" s="183">
        <v>101</v>
      </c>
      <c r="AT4" s="183">
        <v>173</v>
      </c>
      <c r="AU4" s="183">
        <v>88</v>
      </c>
      <c r="AV4" s="183">
        <v>95</v>
      </c>
      <c r="AW4" s="183">
        <v>97</v>
      </c>
      <c r="AX4" s="183">
        <v>92</v>
      </c>
      <c r="AY4" s="183">
        <v>82</v>
      </c>
      <c r="AZ4" s="183">
        <v>83</v>
      </c>
      <c r="BA4" s="183">
        <v>173</v>
      </c>
      <c r="BB4" s="114">
        <v>0</v>
      </c>
      <c r="BC4" s="136">
        <v>0</v>
      </c>
    </row>
    <row r="5" spans="1:55" ht="11.25" hidden="1" customHeight="1" x14ac:dyDescent="0.15">
      <c r="A5" s="182"/>
      <c r="B5" s="182"/>
      <c r="C5" s="182"/>
      <c r="D5" s="15">
        <v>35</v>
      </c>
      <c r="E5" s="182" t="s">
        <v>686</v>
      </c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538" t="str">
        <f>"""fieldUniq"":"""&amp;AC36&amp;""""</f>
        <v>"fieldUniq":"№ заявки"</v>
      </c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C5" s="122"/>
    </row>
    <row r="6" spans="1:55" ht="11.25" hidden="1" customHeight="1" x14ac:dyDescent="0.15">
      <c r="A6" s="182"/>
      <c r="B6" s="182"/>
      <c r="C6" s="182"/>
      <c r="D6" s="15">
        <v>35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C6" s="122"/>
    </row>
    <row r="7" spans="1:55" ht="11.25" hidden="1" customHeight="1" x14ac:dyDescent="0.15">
      <c r="A7" s="182"/>
      <c r="B7" s="182"/>
      <c r="C7" s="182"/>
      <c r="D7" s="15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C7" s="122"/>
    </row>
    <row r="8" spans="1:55" ht="11.25" hidden="1" customHeight="1" x14ac:dyDescent="0.15">
      <c r="A8" s="182"/>
      <c r="B8" s="182"/>
      <c r="C8" s="182"/>
      <c r="D8" s="15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C8" s="122"/>
    </row>
    <row r="9" spans="1:55" ht="11.25" hidden="1" customHeight="1" x14ac:dyDescent="0.15">
      <c r="A9" s="182"/>
      <c r="B9" s="182"/>
      <c r="C9" s="182"/>
      <c r="D9" s="1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C9" s="122"/>
    </row>
    <row r="10" spans="1:55" ht="11.25" hidden="1" customHeight="1" x14ac:dyDescent="0.15">
      <c r="A10" s="182"/>
      <c r="B10" s="182"/>
      <c r="C10" s="182"/>
      <c r="D10" s="1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C10" s="122"/>
    </row>
    <row r="11" spans="1:55" ht="11.25" hidden="1" customHeight="1" x14ac:dyDescent="0.15">
      <c r="A11" s="182"/>
      <c r="B11" s="182"/>
      <c r="C11" s="182"/>
      <c r="D11" s="1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C11" s="122"/>
    </row>
    <row r="12" spans="1:55" ht="11.25" hidden="1" customHeight="1" x14ac:dyDescent="0.15">
      <c r="A12" s="182"/>
      <c r="B12" s="182"/>
      <c r="C12" s="182"/>
      <c r="D12" s="1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C12" s="122"/>
    </row>
    <row r="13" spans="1:55" ht="11.25" hidden="1" customHeight="1" x14ac:dyDescent="0.15">
      <c r="A13" s="182"/>
      <c r="B13" s="182"/>
      <c r="C13" s="182"/>
      <c r="D13" s="1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C13" s="122"/>
    </row>
    <row r="14" spans="1:55" ht="11.25" hidden="1" customHeight="1" x14ac:dyDescent="0.15">
      <c r="A14" s="182"/>
      <c r="B14" s="182"/>
      <c r="C14" s="182"/>
      <c r="D14" s="1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C14" s="122"/>
    </row>
    <row r="15" spans="1:55" ht="11.25" hidden="1" customHeight="1" x14ac:dyDescent="0.15">
      <c r="A15" s="182"/>
      <c r="B15" s="182"/>
      <c r="C15" s="182"/>
      <c r="D15" s="1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C15" s="122"/>
    </row>
    <row r="16" spans="1:55" ht="11.25" hidden="1" customHeight="1" x14ac:dyDescent="0.15">
      <c r="A16" s="182"/>
      <c r="B16" s="182"/>
      <c r="C16" s="182"/>
      <c r="D16" s="1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C16" s="122"/>
    </row>
    <row r="17" spans="1:55" ht="11.25" hidden="1" customHeight="1" x14ac:dyDescent="0.15">
      <c r="A17" s="182"/>
      <c r="B17" s="182"/>
      <c r="C17" s="182"/>
      <c r="D17" s="1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C17" s="122"/>
    </row>
    <row r="18" spans="1:55" ht="11.25" hidden="1" customHeight="1" x14ac:dyDescent="0.15">
      <c r="A18" s="182"/>
      <c r="B18" s="182"/>
      <c r="C18" s="182"/>
      <c r="D18" s="1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C18" s="122"/>
    </row>
    <row r="19" spans="1:55" ht="11.25" hidden="1" customHeight="1" x14ac:dyDescent="0.15">
      <c r="A19" s="182"/>
      <c r="B19" s="182"/>
      <c r="C19" s="182"/>
      <c r="D19" s="1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C19" s="122"/>
    </row>
    <row r="20" spans="1:55" ht="15" customHeight="1" x14ac:dyDescent="0.15">
      <c r="A20" s="182"/>
      <c r="B20" s="182"/>
      <c r="C20" s="182"/>
      <c r="D20" s="1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55" ht="36.75" customHeight="1" x14ac:dyDescent="0.15">
      <c r="A21" s="182"/>
      <c r="B21" s="182"/>
      <c r="C21" s="182"/>
      <c r="D21" s="15">
        <v>49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539" t="str">
        <f>ORG</f>
        <v>ООО "Энергонефть Томск"</v>
      </c>
    </row>
    <row r="22" spans="1:55" ht="33" customHeight="1" x14ac:dyDescent="0.15">
      <c r="A22" s="182"/>
      <c r="B22" s="182"/>
      <c r="C22" s="182"/>
      <c r="D22" s="15">
        <v>44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703" t="str">
        <f>"Отчетные данные о заявках на технологическое присоединение энергопринимающих устройств к электрическим сетям и заключенных договорах об осуществлении технологического присоединения к электрическим сетям сетевой организации за "&amp;PRD&amp;" год"</f>
        <v>Отчетные данные о заявках на технологическое присоединение энергопринимающих устройств к электрическим сетям и заключенных договорах об осуществлении технологического присоединения к электрическим сетям сетевой организации за 2025 год</v>
      </c>
      <c r="AC22" s="703"/>
      <c r="AD22" s="703"/>
      <c r="AE22" s="703"/>
      <c r="AF22" s="703"/>
      <c r="AG22" s="703"/>
      <c r="AH22" s="703"/>
      <c r="AI22" s="703"/>
      <c r="AJ22" s="703"/>
      <c r="AK22" s="703"/>
      <c r="AL22" s="703"/>
      <c r="AM22" s="703"/>
    </row>
    <row r="23" spans="1:55" ht="11.25" customHeight="1" x14ac:dyDescent="0.15">
      <c r="A23" s="182"/>
      <c r="B23" s="182"/>
      <c r="C23" s="182"/>
      <c r="D23" s="15">
        <v>15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55" ht="47.25" customHeight="1" x14ac:dyDescent="0.15">
      <c r="A24" s="182"/>
      <c r="B24" s="182"/>
      <c r="C24" s="182"/>
      <c r="D24" s="15">
        <v>63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B24" s="705" t="str">
        <f>"Сводные данные сетевой организации о заявках на технологическое присоединение энергопринимающих устройств к электрическим сетям и заключенных договорах об осуществлении технологического присоединения к электрическим сетям "&amp;PRD</f>
        <v>Сводные данные сетевой организации о заявках на технологическое присоединение энергопринимающих устройств к электрическим сетям и заключенных договорах об осуществлении технологического присоединения к электрическим сетям 2025</v>
      </c>
      <c r="AC24" s="706"/>
      <c r="AD24" s="706"/>
      <c r="AE24" s="706"/>
      <c r="AF24" s="706"/>
      <c r="AG24" s="706"/>
      <c r="AH24" s="707"/>
    </row>
    <row r="25" spans="1:55" ht="11.25" customHeight="1" x14ac:dyDescent="0.15">
      <c r="A25" s="182"/>
      <c r="B25" s="182"/>
      <c r="C25" s="182"/>
      <c r="D25" s="15">
        <v>15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H25" t="s">
        <v>1175</v>
      </c>
    </row>
    <row r="26" spans="1:55" ht="34.5" customHeight="1" x14ac:dyDescent="0.15">
      <c r="A26" s="182"/>
      <c r="B26" s="182"/>
      <c r="C26" s="182"/>
      <c r="D26" s="15">
        <v>46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B26" s="709" t="s">
        <v>687</v>
      </c>
      <c r="AC26" s="708" t="s">
        <v>688</v>
      </c>
      <c r="AD26" s="721" t="s">
        <v>1176</v>
      </c>
      <c r="AE26" s="721"/>
      <c r="AF26" s="721" t="s">
        <v>1177</v>
      </c>
      <c r="AG26" s="721"/>
      <c r="AH26" s="721"/>
    </row>
    <row r="27" spans="1:55" ht="25.5" customHeight="1" x14ac:dyDescent="0.15">
      <c r="A27" s="182"/>
      <c r="B27" s="182"/>
      <c r="C27" s="182"/>
      <c r="D27" s="15">
        <v>34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B27" s="710"/>
      <c r="AC27" s="708"/>
      <c r="AD27" s="540" t="s">
        <v>1178</v>
      </c>
      <c r="AE27" s="139" t="s">
        <v>1179</v>
      </c>
      <c r="AF27" s="113" t="s">
        <v>1178</v>
      </c>
      <c r="AG27" s="113" t="s">
        <v>1179</v>
      </c>
      <c r="AH27" s="113" t="s">
        <v>1180</v>
      </c>
    </row>
    <row r="28" spans="1:55" ht="11.25" customHeight="1" x14ac:dyDescent="0.15">
      <c r="A28" s="182"/>
      <c r="B28" s="182"/>
      <c r="C28" s="182"/>
      <c r="D28" s="15">
        <v>15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B28" s="541"/>
      <c r="AC28" s="542">
        <v>1</v>
      </c>
      <c r="AD28" s="117">
        <v>2</v>
      </c>
      <c r="AE28" s="117">
        <v>3</v>
      </c>
      <c r="AF28" s="117">
        <v>4</v>
      </c>
      <c r="AG28" s="117">
        <v>5</v>
      </c>
      <c r="AH28" s="117">
        <v>6</v>
      </c>
    </row>
    <row r="29" spans="1:55" ht="51.75" customHeight="1" x14ac:dyDescent="0.15">
      <c r="A29" s="182"/>
      <c r="B29" s="182"/>
      <c r="C29" s="182"/>
      <c r="D29" s="15">
        <v>69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B29" s="543" t="s">
        <v>112</v>
      </c>
      <c r="AC29" s="544" t="s">
        <v>1181</v>
      </c>
      <c r="AD29" s="545"/>
      <c r="AE29" s="545"/>
      <c r="AF29" s="43"/>
      <c r="AG29" s="68"/>
      <c r="AH29" s="68"/>
    </row>
    <row r="30" spans="1:55" ht="11.25" customHeight="1" x14ac:dyDescent="0.15">
      <c r="A30" s="182"/>
      <c r="B30" s="182"/>
      <c r="C30" s="182"/>
      <c r="D30" s="15">
        <v>15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B30" s="118" t="s">
        <v>692</v>
      </c>
      <c r="AC30" s="115" t="s">
        <v>1182</v>
      </c>
      <c r="AD30" s="43"/>
      <c r="AE30" s="68"/>
      <c r="AF30" s="43"/>
      <c r="AG30" s="68"/>
      <c r="AH30" s="68"/>
    </row>
    <row r="31" spans="1:55" ht="11.25" customHeight="1" x14ac:dyDescent="0.15">
      <c r="A31" s="182"/>
      <c r="B31" s="182"/>
      <c r="C31" s="182"/>
      <c r="D31" s="15">
        <v>15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</row>
    <row r="32" spans="1:55" ht="11.25" hidden="1" customHeight="1" x14ac:dyDescent="0.15">
      <c r="A32" s="182"/>
      <c r="B32" s="182"/>
      <c r="C32" s="182"/>
      <c r="D32" s="15">
        <v>0</v>
      </c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</row>
    <row r="33" spans="1:54" ht="44.25" customHeight="1" x14ac:dyDescent="0.15">
      <c r="A33" s="182"/>
      <c r="B33" s="182"/>
      <c r="C33" s="182"/>
      <c r="D33" s="15">
        <v>59</v>
      </c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B33" s="703" t="str">
        <f>"Отчетные данные о заявках на технологическое присоединение энергопринимающих устройств к электрическим сетям и заключенных договорах об осуществлении технологического присоединения к электрическим сетям за "&amp;PRD&amp;" год"</f>
        <v>Отчетные данные о заявках на технологическое присоединение энергопринимающих устройств к электрическим сетям и заключенных договорах об осуществлении технологического присоединения к электрическим сетям за 2025 год</v>
      </c>
      <c r="AC33" s="703"/>
      <c r="AD33" s="703"/>
      <c r="AE33" s="703"/>
      <c r="AF33" s="703"/>
      <c r="AG33" s="703"/>
      <c r="AH33" s="703"/>
      <c r="AI33" s="703"/>
    </row>
    <row r="34" spans="1:54" ht="13.5" customHeight="1" x14ac:dyDescent="0.15">
      <c r="A34" s="182"/>
      <c r="B34" s="182"/>
      <c r="C34" s="182"/>
      <c r="D34" s="15">
        <v>18</v>
      </c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T34" t="s">
        <v>1175</v>
      </c>
      <c r="AU34" s="704" t="s">
        <v>817</v>
      </c>
      <c r="AV34" s="697"/>
      <c r="AW34" s="697"/>
      <c r="AX34" s="697"/>
      <c r="AY34" s="697"/>
      <c r="AZ34" s="697"/>
      <c r="BA34" s="697"/>
    </row>
    <row r="35" spans="1:54" ht="39" customHeight="1" x14ac:dyDescent="0.15">
      <c r="A35" s="182"/>
      <c r="B35" s="182"/>
      <c r="C35" s="182"/>
      <c r="D35" s="15">
        <v>52</v>
      </c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B35" s="711" t="s">
        <v>687</v>
      </c>
      <c r="AC35" s="666" t="s">
        <v>1183</v>
      </c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 t="s">
        <v>1184</v>
      </c>
      <c r="AR35" s="666"/>
      <c r="AS35" s="666"/>
      <c r="AT35" s="666"/>
      <c r="AU35" s="666" t="s">
        <v>1183</v>
      </c>
      <c r="AV35" s="666"/>
      <c r="AW35" s="666"/>
      <c r="AX35" s="666"/>
      <c r="AY35" s="666"/>
      <c r="AZ35" s="666" t="s">
        <v>1184</v>
      </c>
      <c r="BA35" s="666"/>
    </row>
    <row r="36" spans="1:54" ht="56.25" customHeight="1" x14ac:dyDescent="0.15">
      <c r="A36" s="182"/>
      <c r="B36" s="182"/>
      <c r="C36" s="182"/>
      <c r="D36" s="15">
        <v>75</v>
      </c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B36" s="712"/>
      <c r="AC36" s="120" t="s">
        <v>1185</v>
      </c>
      <c r="AD36" s="120" t="s">
        <v>1186</v>
      </c>
      <c r="AE36" s="120" t="s">
        <v>1187</v>
      </c>
      <c r="AF36" s="120" t="s">
        <v>1188</v>
      </c>
      <c r="AG36" s="120" t="s">
        <v>1189</v>
      </c>
      <c r="AH36" s="120" t="s">
        <v>1190</v>
      </c>
      <c r="AI36" s="120" t="s">
        <v>1191</v>
      </c>
      <c r="AJ36" s="120" t="s">
        <v>1192</v>
      </c>
      <c r="AK36" s="120" t="s">
        <v>1193</v>
      </c>
      <c r="AL36" s="120" t="s">
        <v>1194</v>
      </c>
      <c r="AM36" s="120" t="s">
        <v>1195</v>
      </c>
      <c r="AN36" s="120" t="s">
        <v>1196</v>
      </c>
      <c r="AO36" s="120" t="s">
        <v>1197</v>
      </c>
      <c r="AP36" s="120" t="s">
        <v>1198</v>
      </c>
      <c r="AQ36" s="120" t="s">
        <v>1199</v>
      </c>
      <c r="AR36" s="120" t="s">
        <v>1200</v>
      </c>
      <c r="AS36" s="120" t="s">
        <v>1201</v>
      </c>
      <c r="AT36" s="120" t="s">
        <v>1202</v>
      </c>
      <c r="AU36" s="120" t="s">
        <v>1186</v>
      </c>
      <c r="AV36" s="120" t="s">
        <v>1195</v>
      </c>
      <c r="AW36" s="120" t="s">
        <v>1196</v>
      </c>
      <c r="AX36" s="120" t="s">
        <v>1197</v>
      </c>
      <c r="AY36" s="120" t="s">
        <v>1198</v>
      </c>
      <c r="AZ36" s="120" t="s">
        <v>1201</v>
      </c>
      <c r="BA36" s="120" t="s">
        <v>1202</v>
      </c>
    </row>
    <row r="37" spans="1:54" ht="11.25" customHeight="1" x14ac:dyDescent="0.15">
      <c r="A37" s="182"/>
      <c r="B37" s="182"/>
      <c r="C37" s="182"/>
      <c r="D37" s="15">
        <v>15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B37" s="546"/>
      <c r="AC37" s="123" t="s">
        <v>112</v>
      </c>
      <c r="AD37" s="123" t="s">
        <v>692</v>
      </c>
      <c r="AE37" s="123" t="s">
        <v>143</v>
      </c>
      <c r="AF37" s="123" t="s">
        <v>151</v>
      </c>
      <c r="AG37" s="123" t="s">
        <v>158</v>
      </c>
      <c r="AH37" s="123" t="s">
        <v>703</v>
      </c>
      <c r="AI37" s="123" t="s">
        <v>704</v>
      </c>
      <c r="AJ37" s="123" t="s">
        <v>705</v>
      </c>
      <c r="AK37" s="123" t="s">
        <v>706</v>
      </c>
      <c r="AL37" s="547" t="s">
        <v>707</v>
      </c>
      <c r="AM37" s="124" t="s">
        <v>708</v>
      </c>
      <c r="AN37" s="124" t="s">
        <v>709</v>
      </c>
      <c r="AO37" s="124" t="s">
        <v>710</v>
      </c>
      <c r="AP37" s="124" t="s">
        <v>711</v>
      </c>
      <c r="AQ37" s="124" t="s">
        <v>712</v>
      </c>
      <c r="AR37" s="124" t="s">
        <v>1203</v>
      </c>
      <c r="AS37" s="124" t="s">
        <v>1204</v>
      </c>
      <c r="AT37" s="124" t="s">
        <v>1205</v>
      </c>
      <c r="AU37" s="124" t="s">
        <v>1206</v>
      </c>
      <c r="AV37" s="124" t="s">
        <v>1207</v>
      </c>
      <c r="AW37" s="124" t="s">
        <v>1208</v>
      </c>
      <c r="AX37" s="124" t="s">
        <v>1209</v>
      </c>
      <c r="AY37" s="124" t="s">
        <v>1210</v>
      </c>
      <c r="AZ37" s="124" t="s">
        <v>1211</v>
      </c>
      <c r="BA37" s="124" t="s">
        <v>1212</v>
      </c>
    </row>
    <row r="38" spans="1:54" ht="25.5" customHeight="1" x14ac:dyDescent="0.15">
      <c r="A38" s="182"/>
      <c r="B38" s="182"/>
      <c r="C38" s="182"/>
      <c r="D38" s="15">
        <v>34</v>
      </c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B38" s="548" t="s">
        <v>112</v>
      </c>
      <c r="AC38" s="713" t="s">
        <v>1213</v>
      </c>
      <c r="AD38" s="714"/>
      <c r="AE38" s="714"/>
      <c r="AF38" s="714"/>
      <c r="AG38" s="714"/>
      <c r="AH38" s="714"/>
      <c r="AI38" s="714"/>
      <c r="AJ38" s="714"/>
      <c r="AK38" s="714"/>
      <c r="AL38" s="549"/>
      <c r="AM38" s="549"/>
      <c r="AN38" s="549"/>
      <c r="AO38" s="550"/>
      <c r="AP38" s="549"/>
      <c r="AQ38" s="549"/>
      <c r="AR38" s="549"/>
      <c r="AS38" s="549"/>
      <c r="AT38" s="549"/>
      <c r="AU38" s="549"/>
      <c r="AV38" s="549"/>
      <c r="AW38" s="549"/>
      <c r="AX38" s="550"/>
      <c r="AY38" s="549"/>
      <c r="AZ38" s="549"/>
      <c r="BA38" s="549"/>
    </row>
    <row r="39" spans="1:54" ht="23.25" hidden="1" customHeight="1" x14ac:dyDescent="0.15">
      <c r="A39" s="182"/>
      <c r="B39" s="182" t="b">
        <f>AB39&lt;&gt;$AB$39</f>
        <v>0</v>
      </c>
      <c r="C39" s="182"/>
      <c r="D39" s="15">
        <v>31</v>
      </c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28" t="s">
        <v>701</v>
      </c>
      <c r="AB39" s="141" t="s">
        <v>906</v>
      </c>
      <c r="AC39" s="551"/>
      <c r="AD39" s="552"/>
      <c r="AE39" s="551"/>
      <c r="AF39" s="553"/>
      <c r="AG39" s="553"/>
      <c r="AH39" s="554"/>
      <c r="AI39" s="554"/>
      <c r="AJ39" s="555"/>
      <c r="AK39" s="555"/>
      <c r="AL39" s="555"/>
      <c r="AM39" s="552"/>
      <c r="AN39" s="556" t="str">
        <f>IF(AK39="","",IF(AK39="Постоянная",20,10))</f>
        <v/>
      </c>
      <c r="AO39" s="143">
        <f>IF(AD39=0,0,NETWORKDAYS(AD39,AM39))</f>
        <v>0</v>
      </c>
      <c r="AP39" s="557" t="str">
        <f>IF(AO39&gt;=AN39,"Да","Нет")</f>
        <v>Нет</v>
      </c>
      <c r="AQ39" s="554"/>
      <c r="AR39" s="552"/>
      <c r="AS39" s="553"/>
      <c r="AT39" s="554"/>
      <c r="AU39" s="558">
        <f>IF(AD39="",0,AD39)</f>
        <v>0</v>
      </c>
      <c r="AV39" s="558">
        <f>IF(AM39="",0,AM39)</f>
        <v>0</v>
      </c>
      <c r="AW39" s="559" t="str">
        <f>AN39</f>
        <v/>
      </c>
      <c r="AX39" s="143">
        <f>IF(AU39=0,0,NETWORKDAYS(AU39,AV39))</f>
        <v>0</v>
      </c>
      <c r="AY39" s="560" t="str">
        <f>IF(AX39&gt;=AW39,"Да","Нет")</f>
        <v>Нет</v>
      </c>
      <c r="AZ39" s="553">
        <f>AS39</f>
        <v>0</v>
      </c>
      <c r="BA39" s="554">
        <f>AT39</f>
        <v>0</v>
      </c>
      <c r="BB39" t="s">
        <v>702</v>
      </c>
    </row>
    <row r="40" spans="1:54" ht="11.25" customHeight="1" x14ac:dyDescent="0.15">
      <c r="D40" s="137">
        <v>15</v>
      </c>
      <c r="AB40" s="561"/>
      <c r="AC40" s="562" t="s">
        <v>1214</v>
      </c>
      <c r="AD40" s="563"/>
      <c r="AE40" s="563"/>
      <c r="AF40" s="563"/>
      <c r="AG40" s="563"/>
      <c r="AH40" s="563"/>
      <c r="AI40" s="563"/>
      <c r="AJ40" s="563"/>
      <c r="AK40" s="563"/>
      <c r="AL40" s="563"/>
      <c r="AM40" s="563"/>
      <c r="AN40" s="563"/>
      <c r="AO40" s="564"/>
      <c r="AP40" s="563"/>
      <c r="AQ40" s="563"/>
      <c r="AR40" s="563"/>
      <c r="AS40" s="563"/>
      <c r="AT40" s="563"/>
      <c r="AU40" s="563"/>
      <c r="AV40" s="563"/>
      <c r="AW40" s="563"/>
      <c r="AX40" s="564"/>
      <c r="AY40" s="563"/>
      <c r="AZ40" s="563"/>
      <c r="BA40" s="565"/>
    </row>
    <row r="41" spans="1:54" ht="52.5" customHeight="1" x14ac:dyDescent="0.15">
      <c r="A41" s="182"/>
      <c r="B41" s="182"/>
      <c r="C41" s="182"/>
      <c r="D41" s="15">
        <v>70</v>
      </c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B41" s="566" t="s">
        <v>692</v>
      </c>
      <c r="AC41" s="715" t="s">
        <v>1215</v>
      </c>
      <c r="AD41" s="716"/>
      <c r="AE41" s="716"/>
      <c r="AF41" s="716"/>
      <c r="AG41" s="716"/>
      <c r="AH41" s="716"/>
      <c r="AI41" s="716"/>
      <c r="AJ41" s="716"/>
      <c r="AK41" s="717"/>
      <c r="AL41" s="567"/>
      <c r="AM41" s="568"/>
      <c r="AN41" s="568"/>
      <c r="AO41" s="569"/>
      <c r="AP41" s="568"/>
      <c r="AQ41" s="568"/>
      <c r="AR41" s="568"/>
      <c r="AS41" s="568"/>
      <c r="AT41" s="568"/>
      <c r="AU41" s="568"/>
      <c r="AV41" s="568"/>
      <c r="AW41" s="568"/>
      <c r="AX41" s="569"/>
      <c r="AY41" s="568"/>
      <c r="AZ41" s="568"/>
      <c r="BA41" s="570"/>
    </row>
    <row r="42" spans="1:54" ht="23.25" hidden="1" customHeight="1" x14ac:dyDescent="0.15">
      <c r="A42" s="182"/>
      <c r="B42" s="182" t="b">
        <f>AB42&lt;&gt;$AB$42</f>
        <v>0</v>
      </c>
      <c r="C42" s="182"/>
      <c r="D42" s="15">
        <v>31</v>
      </c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28" t="s">
        <v>701</v>
      </c>
      <c r="AB42" s="571" t="s">
        <v>1216</v>
      </c>
      <c r="AC42" s="572"/>
      <c r="AD42" s="552"/>
      <c r="AE42" s="572"/>
      <c r="AF42" s="553"/>
      <c r="AG42" s="553"/>
      <c r="AH42" s="554"/>
      <c r="AI42" s="554"/>
      <c r="AJ42" s="555"/>
      <c r="AK42" s="555"/>
      <c r="AL42" s="555"/>
      <c r="AM42" s="552"/>
      <c r="AN42" s="143" t="str">
        <f>IF(AK42="","",10)</f>
        <v/>
      </c>
      <c r="AO42" s="143">
        <f>IF(AD42=0,0,NETWORKDAYS(AD42,AM42))</f>
        <v>0</v>
      </c>
      <c r="AP42" s="557" t="str">
        <f>IF(AO42&gt;=AN42,"Да","Нет")</f>
        <v>Нет</v>
      </c>
      <c r="AQ42" s="554"/>
      <c r="AR42" s="552"/>
      <c r="AS42" s="553"/>
      <c r="AT42" s="554"/>
      <c r="AU42" s="558">
        <f>IF(AD42="",0,AD42)</f>
        <v>0</v>
      </c>
      <c r="AV42" s="558">
        <f>IF(AM42="",0,AM42)</f>
        <v>0</v>
      </c>
      <c r="AW42" s="559" t="str">
        <f>AN42</f>
        <v/>
      </c>
      <c r="AX42" s="143">
        <f>IF(AU42=0,0,NETWORKDAYS(AU42,AV42))</f>
        <v>0</v>
      </c>
      <c r="AY42" s="144" t="str">
        <f>IF(AX42&gt;=AW42,"Да","Нет")</f>
        <v>Нет</v>
      </c>
      <c r="AZ42" s="553">
        <f>AS42</f>
        <v>0</v>
      </c>
      <c r="BA42" s="554">
        <f>AT42</f>
        <v>0</v>
      </c>
      <c r="BB42" t="s">
        <v>702</v>
      </c>
    </row>
    <row r="43" spans="1:54" ht="11.25" customHeight="1" x14ac:dyDescent="0.15">
      <c r="D43" s="137">
        <v>15</v>
      </c>
      <c r="AB43" s="561"/>
      <c r="AC43" s="150" t="s">
        <v>1214</v>
      </c>
      <c r="AD43" s="563"/>
      <c r="AE43" s="563"/>
      <c r="AF43" s="563"/>
      <c r="AG43" s="563"/>
      <c r="AH43" s="563"/>
      <c r="AI43" s="563"/>
      <c r="AJ43" s="563"/>
      <c r="AK43" s="563"/>
      <c r="AL43" s="563"/>
      <c r="AM43" s="563"/>
      <c r="AN43" s="563"/>
      <c r="AO43" s="564"/>
      <c r="AP43" s="563"/>
      <c r="AQ43" s="563"/>
      <c r="AR43" s="563"/>
      <c r="AS43" s="563"/>
      <c r="AT43" s="563"/>
      <c r="AU43" s="563"/>
      <c r="AV43" s="563"/>
      <c r="AW43" s="563"/>
      <c r="AX43" s="564"/>
      <c r="AY43" s="563"/>
      <c r="AZ43" s="563"/>
      <c r="BA43" s="565"/>
    </row>
    <row r="44" spans="1:54" ht="38.25" customHeight="1" x14ac:dyDescent="0.15">
      <c r="A44" s="182"/>
      <c r="B44" s="182"/>
      <c r="C44" s="182"/>
      <c r="D44" s="15">
        <v>51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B44" s="573" t="s">
        <v>143</v>
      </c>
      <c r="AC44" s="718" t="s">
        <v>1217</v>
      </c>
      <c r="AD44" s="719"/>
      <c r="AE44" s="719"/>
      <c r="AF44" s="719"/>
      <c r="AG44" s="719"/>
      <c r="AH44" s="719"/>
      <c r="AI44" s="719"/>
      <c r="AJ44" s="719"/>
      <c r="AK44" s="720"/>
      <c r="AL44" s="574"/>
      <c r="AM44" s="575"/>
      <c r="AN44" s="575"/>
      <c r="AO44" s="576"/>
      <c r="AP44" s="575"/>
      <c r="AQ44" s="575"/>
      <c r="AR44" s="575"/>
      <c r="AS44" s="575"/>
      <c r="AT44" s="575"/>
      <c r="AU44" s="575"/>
      <c r="AV44" s="575"/>
      <c r="AW44" s="575"/>
      <c r="AX44" s="576"/>
      <c r="AY44" s="575"/>
      <c r="AZ44" s="575"/>
      <c r="BA44" s="577"/>
    </row>
    <row r="45" spans="1:54" ht="23.25" hidden="1" customHeight="1" x14ac:dyDescent="0.15">
      <c r="A45" s="182"/>
      <c r="B45" s="182" t="b">
        <f>AB45&lt;&gt;$AB$45</f>
        <v>0</v>
      </c>
      <c r="C45" s="182"/>
      <c r="D45" s="15">
        <v>31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28" t="s">
        <v>701</v>
      </c>
      <c r="AB45" s="149" t="s">
        <v>1218</v>
      </c>
      <c r="AC45" s="572"/>
      <c r="AD45" s="552"/>
      <c r="AE45" s="572"/>
      <c r="AF45" s="553"/>
      <c r="AG45" s="553"/>
      <c r="AH45" s="554"/>
      <c r="AI45" s="554"/>
      <c r="AJ45" s="555"/>
      <c r="AK45" s="555"/>
      <c r="AL45" s="555"/>
      <c r="AM45" s="552"/>
      <c r="AN45" s="143" t="str">
        <f>IF(AK45="","",10)</f>
        <v/>
      </c>
      <c r="AO45" s="143">
        <f>IF(AD45=0,0,NETWORKDAYS(AD45,AM45))</f>
        <v>0</v>
      </c>
      <c r="AP45" s="557" t="str">
        <f>IF(AO45&gt;=AN45,"Да","Нет")</f>
        <v>Нет</v>
      </c>
      <c r="AQ45" s="554"/>
      <c r="AR45" s="552"/>
      <c r="AS45" s="553"/>
      <c r="AT45" s="554"/>
      <c r="AU45" s="558">
        <f>IF(AD45="",0,AD45)</f>
        <v>0</v>
      </c>
      <c r="AV45" s="558">
        <f>IF(AM45="",0,AM45)</f>
        <v>0</v>
      </c>
      <c r="AW45" s="559" t="str">
        <f>AN45</f>
        <v/>
      </c>
      <c r="AX45" s="143">
        <f>IF(AU45=0,0,NETWORKDAYS(AU45,AV45))</f>
        <v>0</v>
      </c>
      <c r="AY45" s="144" t="str">
        <f>IF(AX45&gt;=AW45,"Да","Нет")</f>
        <v>Нет</v>
      </c>
      <c r="AZ45" s="553">
        <f>AS45</f>
        <v>0</v>
      </c>
      <c r="BA45" s="554">
        <f>AT45</f>
        <v>0</v>
      </c>
      <c r="BB45" t="s">
        <v>702</v>
      </c>
    </row>
    <row r="46" spans="1:54" ht="11.25" customHeight="1" x14ac:dyDescent="0.15">
      <c r="D46" s="137">
        <v>15</v>
      </c>
      <c r="AB46" s="561"/>
      <c r="AC46" s="150" t="s">
        <v>1214</v>
      </c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4"/>
      <c r="AP46" s="563"/>
      <c r="AQ46" s="563"/>
      <c r="AR46" s="563"/>
      <c r="AS46" s="563"/>
      <c r="AT46" s="563"/>
      <c r="AU46" s="563"/>
      <c r="AV46" s="563"/>
      <c r="AW46" s="563"/>
      <c r="AX46" s="564"/>
      <c r="AY46" s="563"/>
      <c r="AZ46" s="563"/>
      <c r="BA46" s="565"/>
    </row>
    <row r="47" spans="1:54" ht="35.25" customHeight="1" x14ac:dyDescent="0.15">
      <c r="A47" s="182"/>
      <c r="B47" s="182"/>
      <c r="C47" s="182"/>
      <c r="D47" s="15">
        <v>47</v>
      </c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B47" s="121" t="s">
        <v>151</v>
      </c>
      <c r="AC47" s="718" t="s">
        <v>1219</v>
      </c>
      <c r="AD47" s="719"/>
      <c r="AE47" s="719"/>
      <c r="AF47" s="719"/>
      <c r="AG47" s="719"/>
      <c r="AH47" s="719"/>
      <c r="AI47" s="719"/>
      <c r="AJ47" s="719"/>
      <c r="AK47" s="720"/>
      <c r="AL47" s="574"/>
      <c r="AM47" s="575"/>
      <c r="AN47" s="575"/>
      <c r="AO47" s="576"/>
      <c r="AP47" s="575"/>
      <c r="AQ47" s="575"/>
      <c r="AR47" s="575"/>
      <c r="AS47" s="575"/>
      <c r="AT47" s="575"/>
      <c r="AU47" s="575"/>
      <c r="AV47" s="575"/>
      <c r="AW47" s="575"/>
      <c r="AX47" s="576"/>
      <c r="AY47" s="575"/>
      <c r="AZ47" s="575"/>
      <c r="BA47" s="577"/>
    </row>
    <row r="48" spans="1:54" ht="23.25" hidden="1" customHeight="1" x14ac:dyDescent="0.15">
      <c r="A48" s="182"/>
      <c r="B48" s="182" t="b">
        <f>AB48&lt;&gt;$AB$48</f>
        <v>0</v>
      </c>
      <c r="C48" s="182"/>
      <c r="D48" s="15">
        <v>31</v>
      </c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28" t="s">
        <v>701</v>
      </c>
      <c r="AB48" s="578" t="s">
        <v>1220</v>
      </c>
      <c r="AC48" s="225"/>
      <c r="AD48" s="579"/>
      <c r="AE48" s="225"/>
      <c r="AF48" s="580"/>
      <c r="AG48" s="580"/>
      <c r="AH48" s="581"/>
      <c r="AI48" s="581"/>
      <c r="AJ48" s="582"/>
      <c r="AK48" s="582"/>
      <c r="AL48" s="582"/>
      <c r="AM48" s="579"/>
      <c r="AN48" s="143" t="str">
        <f>IF(AK48="","",10)</f>
        <v/>
      </c>
      <c r="AO48" s="143">
        <f>IF(AD48=0,0,NETWORKDAYS(AD48,AM48))</f>
        <v>0</v>
      </c>
      <c r="AP48" s="583" t="str">
        <f>IF(AO48&gt;=AN48,"Да","Нет")</f>
        <v>Нет</v>
      </c>
      <c r="AQ48" s="581"/>
      <c r="AR48" s="579"/>
      <c r="AS48" s="580"/>
      <c r="AT48" s="581"/>
      <c r="AU48" s="584">
        <f>IF(AD48="",0,AD48)</f>
        <v>0</v>
      </c>
      <c r="AV48" s="584">
        <f>IF(AM48="",0,AM48)</f>
        <v>0</v>
      </c>
      <c r="AW48" s="307" t="str">
        <f>AN48</f>
        <v/>
      </c>
      <c r="AX48" s="143">
        <f>IF(AU48=0,0,NETWORKDAYS(AU48,AV48))</f>
        <v>0</v>
      </c>
      <c r="AY48" s="19" t="str">
        <f>IF(AX48&gt;=AW48,"Да","Нет")</f>
        <v>Нет</v>
      </c>
      <c r="AZ48" s="580">
        <f>AS48</f>
        <v>0</v>
      </c>
      <c r="BA48" s="581">
        <f>AT48</f>
        <v>0</v>
      </c>
      <c r="BB48" t="s">
        <v>702</v>
      </c>
    </row>
    <row r="49" spans="1:55" ht="11.25" customHeight="1" x14ac:dyDescent="0.15">
      <c r="D49" s="137">
        <v>15</v>
      </c>
      <c r="AB49" s="585"/>
      <c r="AC49" s="586" t="s">
        <v>1214</v>
      </c>
      <c r="AD49" s="587"/>
      <c r="AE49" s="587"/>
      <c r="AF49" s="587"/>
      <c r="AG49" s="587"/>
      <c r="AH49" s="587"/>
      <c r="AI49" s="587"/>
      <c r="AJ49" s="587"/>
      <c r="AK49" s="587"/>
      <c r="AL49" s="587"/>
      <c r="AM49" s="587"/>
      <c r="AN49" s="587"/>
      <c r="AO49" s="588"/>
      <c r="AP49" s="587"/>
      <c r="AQ49" s="587"/>
      <c r="AR49" s="587"/>
      <c r="AS49" s="587"/>
      <c r="AT49" s="587"/>
      <c r="AU49" s="587"/>
      <c r="AV49" s="587"/>
      <c r="AW49" s="587"/>
      <c r="AX49" s="588"/>
      <c r="AY49" s="587"/>
      <c r="AZ49" s="587"/>
      <c r="BA49" s="589"/>
    </row>
    <row r="50" spans="1:55" ht="11.25" hidden="1" customHeight="1" x14ac:dyDescent="0.15">
      <c r="A50" s="182"/>
      <c r="B50" s="182"/>
      <c r="C50" s="182"/>
      <c r="D50" s="136">
        <v>0</v>
      </c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BC50" t="s">
        <v>71</v>
      </c>
    </row>
  </sheetData>
  <sheetProtection insertRows="0" deleteColumns="0" deleteRows="0" sort="0" autoFilter="0"/>
  <mergeCells count="17">
    <mergeCell ref="AC38:AK38"/>
    <mergeCell ref="AC41:AK41"/>
    <mergeCell ref="AC44:AK44"/>
    <mergeCell ref="AC47:AK47"/>
    <mergeCell ref="AD26:AE26"/>
    <mergeCell ref="AF26:AH26"/>
    <mergeCell ref="AQ35:AT35"/>
    <mergeCell ref="AB22:AM22"/>
    <mergeCell ref="AZ35:BA35"/>
    <mergeCell ref="AU35:AY35"/>
    <mergeCell ref="AU34:BA34"/>
    <mergeCell ref="AC35:AP35"/>
    <mergeCell ref="AB33:AI33"/>
    <mergeCell ref="AB24:AH24"/>
    <mergeCell ref="AC26:AC27"/>
    <mergeCell ref="AB26:AB27"/>
    <mergeCell ref="AB35:AB36"/>
  </mergeCells>
  <dataValidations count="2">
    <dataValidation type="list" allowBlank="1" showInputMessage="1" showErrorMessage="1" errorTitle="Ошибка" error="Выберите значение из списка" prompt="Выберите значение из списка" sqref="AK39 AK42 AK45 AK48">
      <formula1>Shema_TP</formula1>
    </dataValidation>
    <dataValidation type="list" allowBlank="1" showInputMessage="1" showErrorMessage="1" errorTitle="Ошибка" error="Выберите значение из списка" prompt="Выберите значение из списка" sqref="AJ39 AJ42 AJ45 AJ48 AL39 AL42 AL45 AL48">
      <formula1>logic</formula1>
    </dataValidation>
  </dataValidation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1"/>
  <sheetViews>
    <sheetView showGridLines="0" topLeftCell="AA20" workbookViewId="0">
      <selection activeCell="AA20" sqref="AA20"/>
    </sheetView>
  </sheetViews>
  <sheetFormatPr defaultRowHeight="11.25" customHeight="1" x14ac:dyDescent="0.15"/>
  <cols>
    <col min="1" max="1" width="6.85546875" style="166" hidden="1" customWidth="1"/>
    <col min="2" max="2" width="5.42578125" style="166" hidden="1" customWidth="1"/>
    <col min="3" max="3" width="9.140625" style="166" hidden="1"/>
    <col min="4" max="4" width="2.42578125" style="114" hidden="1" customWidth="1"/>
    <col min="5" max="26" width="9.140625" style="166" hidden="1"/>
    <col min="27" max="27" width="3.7109375" style="166" customWidth="1"/>
    <col min="28" max="28" width="8.140625" style="166" customWidth="1"/>
    <col min="29" max="29" width="17.28515625" style="166" customWidth="1"/>
    <col min="30" max="30" width="13.28515625" style="166" customWidth="1"/>
    <col min="31" max="31" width="25.42578125" style="166" customWidth="1"/>
    <col min="32" max="32" width="12" style="166" customWidth="1"/>
    <col min="33" max="33" width="11.5703125" style="166" customWidth="1"/>
    <col min="34" max="34" width="15.5703125" style="166" customWidth="1"/>
    <col min="35" max="35" width="30.42578125" style="166" customWidth="1"/>
    <col min="36" max="36" width="14.42578125" style="166" customWidth="1"/>
    <col min="37" max="37" width="14.28515625" style="166" customWidth="1"/>
    <col min="38" max="38" width="13.42578125" style="166" customWidth="1"/>
    <col min="39" max="39" width="14.7109375" style="166" customWidth="1"/>
    <col min="40" max="40" width="17.42578125" style="166" customWidth="1"/>
    <col min="41" max="41" width="14.5703125" style="166" customWidth="1"/>
    <col min="42" max="42" width="17.28515625" style="166" customWidth="1"/>
    <col min="43" max="43" width="13.85546875" style="166" customWidth="1"/>
    <col min="44" max="44" width="14" style="166" customWidth="1"/>
    <col min="45" max="46" width="15.85546875" style="166" customWidth="1"/>
    <col min="47" max="47" width="16.42578125" style="166" customWidth="1"/>
    <col min="48" max="48" width="16.28515625" style="166" customWidth="1"/>
    <col min="49" max="49" width="15.7109375" style="166" customWidth="1"/>
    <col min="50" max="50" width="14.42578125" style="166" customWidth="1"/>
    <col min="51" max="51" width="11.5703125" style="166" customWidth="1"/>
    <col min="52" max="52" width="10.140625" style="166" hidden="1" customWidth="1"/>
    <col min="53" max="53" width="9.140625" style="166" hidden="1"/>
    <col min="54" max="55" width="14.85546875" style="166" hidden="1" customWidth="1"/>
    <col min="56" max="56" width="13.42578125" style="166" hidden="1" customWidth="1"/>
    <col min="57" max="57" width="16.28515625" style="166" hidden="1" customWidth="1"/>
    <col min="58" max="58" width="17.5703125" style="166" hidden="1" customWidth="1"/>
    <col min="59" max="59" width="16.140625" style="166" hidden="1" customWidth="1"/>
    <col min="60" max="60" width="12.28515625" style="166" hidden="1" customWidth="1"/>
    <col min="61" max="61" width="12.140625" style="166" hidden="1" customWidth="1"/>
    <col min="62" max="64" width="9.140625" hidden="1"/>
  </cols>
  <sheetData>
    <row r="1" spans="1:64" ht="12.75" hidden="1" customHeight="1" x14ac:dyDescent="0.15">
      <c r="A1" s="182"/>
      <c r="B1" s="182"/>
      <c r="C1" s="182"/>
      <c r="D1" s="136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 t="s">
        <v>681</v>
      </c>
      <c r="AB1" s="182" t="s">
        <v>682</v>
      </c>
      <c r="AC1" t="s">
        <v>683</v>
      </c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 t="s">
        <v>1221</v>
      </c>
      <c r="AW1" s="182" t="s">
        <v>684</v>
      </c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t="s">
        <v>685</v>
      </c>
      <c r="BK1" s="122"/>
      <c r="BL1" s="122"/>
    </row>
    <row r="2" spans="1:64" ht="12.75" hidden="1" customHeight="1" x14ac:dyDescent="0.15">
      <c r="A2" s="182"/>
      <c r="B2" s="182"/>
      <c r="C2" s="182"/>
      <c r="D2" s="136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535" t="b">
        <f t="shared" ref="AZ2:BI2" si="0">REPORT_OWNER="Версия регулятора"</f>
        <v>0</v>
      </c>
      <c r="BA2" s="535" t="b">
        <f t="shared" si="0"/>
        <v>0</v>
      </c>
      <c r="BB2" s="535" t="b">
        <f t="shared" si="0"/>
        <v>0</v>
      </c>
      <c r="BC2" s="535" t="b">
        <f t="shared" si="0"/>
        <v>0</v>
      </c>
      <c r="BD2" s="535" t="b">
        <f t="shared" si="0"/>
        <v>0</v>
      </c>
      <c r="BE2" s="535" t="b">
        <f t="shared" si="0"/>
        <v>0</v>
      </c>
      <c r="BF2" s="535" t="b">
        <f t="shared" si="0"/>
        <v>0</v>
      </c>
      <c r="BG2" s="535" t="b">
        <f t="shared" si="0"/>
        <v>0</v>
      </c>
      <c r="BH2" s="535" t="b">
        <f t="shared" si="0"/>
        <v>0</v>
      </c>
      <c r="BI2" s="535" t="b">
        <f t="shared" si="0"/>
        <v>0</v>
      </c>
      <c r="BK2" s="122"/>
      <c r="BL2" s="122"/>
    </row>
    <row r="3" spans="1:64" ht="11.25" hidden="1" customHeight="1" x14ac:dyDescent="0.15">
      <c r="A3" s="182"/>
      <c r="B3" s="182"/>
      <c r="C3" s="182"/>
      <c r="D3" s="136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K3" s="122"/>
      <c r="BL3" s="122"/>
    </row>
    <row r="4" spans="1:64" s="114" customFormat="1" ht="12.75" hidden="1" customHeight="1" x14ac:dyDescent="0.15">
      <c r="A4" s="136"/>
      <c r="B4" s="136"/>
      <c r="C4" s="136"/>
      <c r="D4" s="136"/>
      <c r="E4" s="136">
        <v>61</v>
      </c>
      <c r="F4" s="136">
        <v>61</v>
      </c>
      <c r="G4" s="136">
        <v>61</v>
      </c>
      <c r="H4" s="136">
        <v>61</v>
      </c>
      <c r="I4" s="136">
        <v>61</v>
      </c>
      <c r="J4" s="136">
        <v>61</v>
      </c>
      <c r="K4" s="136">
        <v>61</v>
      </c>
      <c r="L4" s="136">
        <v>61</v>
      </c>
      <c r="M4" s="136">
        <v>61</v>
      </c>
      <c r="N4" s="136">
        <v>61</v>
      </c>
      <c r="O4" s="136">
        <v>61</v>
      </c>
      <c r="P4" s="136">
        <v>61</v>
      </c>
      <c r="Q4" s="136">
        <v>61</v>
      </c>
      <c r="R4" s="136">
        <v>61</v>
      </c>
      <c r="S4" s="136">
        <v>61</v>
      </c>
      <c r="T4" s="136">
        <v>61</v>
      </c>
      <c r="U4" s="136">
        <v>61</v>
      </c>
      <c r="V4" s="136">
        <v>61</v>
      </c>
      <c r="W4" s="136">
        <v>61</v>
      </c>
      <c r="X4" s="136">
        <v>61</v>
      </c>
      <c r="Y4" s="136">
        <v>61</v>
      </c>
      <c r="Z4" s="136">
        <v>61</v>
      </c>
      <c r="AA4" s="136">
        <v>26</v>
      </c>
      <c r="AB4" s="183">
        <v>57</v>
      </c>
      <c r="AC4" s="537">
        <v>121</v>
      </c>
      <c r="AD4" s="183">
        <v>93</v>
      </c>
      <c r="AE4" s="183">
        <v>178</v>
      </c>
      <c r="AF4" s="183">
        <v>84</v>
      </c>
      <c r="AG4" s="183">
        <v>81</v>
      </c>
      <c r="AH4" s="183">
        <v>109</v>
      </c>
      <c r="AI4" s="183">
        <v>213</v>
      </c>
      <c r="AJ4" s="183">
        <v>101</v>
      </c>
      <c r="AK4" s="183">
        <v>100</v>
      </c>
      <c r="AL4" s="183">
        <v>94</v>
      </c>
      <c r="AM4" s="183">
        <v>103</v>
      </c>
      <c r="AN4" s="183">
        <v>122</v>
      </c>
      <c r="AO4" s="183">
        <v>102</v>
      </c>
      <c r="AP4" s="183">
        <v>121</v>
      </c>
      <c r="AQ4" s="183">
        <v>97</v>
      </c>
      <c r="AR4" s="183">
        <v>98</v>
      </c>
      <c r="AS4" s="183">
        <v>111</v>
      </c>
      <c r="AT4" s="183">
        <v>111</v>
      </c>
      <c r="AU4" s="183">
        <v>115</v>
      </c>
      <c r="AV4" s="183">
        <v>114</v>
      </c>
      <c r="AW4" s="183">
        <v>110</v>
      </c>
      <c r="AX4" s="183">
        <v>101</v>
      </c>
      <c r="AY4" s="183">
        <v>81</v>
      </c>
      <c r="AZ4" s="183">
        <v>71</v>
      </c>
      <c r="BA4" s="183">
        <v>64</v>
      </c>
      <c r="BB4" s="183">
        <v>104</v>
      </c>
      <c r="BC4" s="183">
        <v>104</v>
      </c>
      <c r="BD4" s="183">
        <v>94</v>
      </c>
      <c r="BE4" s="183">
        <v>114</v>
      </c>
      <c r="BF4" s="183">
        <v>123</v>
      </c>
      <c r="BG4" s="183">
        <v>113</v>
      </c>
      <c r="BH4" s="183">
        <v>86</v>
      </c>
      <c r="BI4" s="183">
        <v>85</v>
      </c>
      <c r="BJ4" s="114">
        <v>0</v>
      </c>
      <c r="BK4" s="136">
        <v>0</v>
      </c>
      <c r="BL4" s="136"/>
    </row>
    <row r="5" spans="1:64" ht="11.25" hidden="1" customHeight="1" x14ac:dyDescent="0.15">
      <c r="A5" s="182"/>
      <c r="B5" s="182"/>
      <c r="C5" s="182"/>
      <c r="D5" s="15">
        <v>35</v>
      </c>
      <c r="E5" s="182" t="s">
        <v>686</v>
      </c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538" t="str">
        <f>"""fieldUniq"":"""&amp;AC36&amp;""""</f>
        <v>"fieldUniq":"Номер договора"</v>
      </c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K5" s="122"/>
      <c r="BL5" s="122"/>
    </row>
    <row r="6" spans="1:64" ht="11.25" hidden="1" customHeight="1" x14ac:dyDescent="0.15">
      <c r="A6" s="182"/>
      <c r="B6" s="182"/>
      <c r="C6" s="182"/>
      <c r="D6" s="15">
        <v>35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K6" s="122"/>
      <c r="BL6" s="122"/>
    </row>
    <row r="7" spans="1:64" ht="11.25" hidden="1" customHeight="1" x14ac:dyDescent="0.15">
      <c r="A7" s="182"/>
      <c r="B7" s="182"/>
      <c r="C7" s="182"/>
      <c r="D7" s="15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K7" s="122"/>
      <c r="BL7" s="122"/>
    </row>
    <row r="8" spans="1:64" ht="11.25" hidden="1" customHeight="1" x14ac:dyDescent="0.15">
      <c r="A8" s="182"/>
      <c r="B8" s="182"/>
      <c r="C8" s="182"/>
      <c r="D8" s="15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K8" s="122"/>
      <c r="BL8" s="122"/>
    </row>
    <row r="9" spans="1:64" ht="11.25" hidden="1" customHeight="1" x14ac:dyDescent="0.15">
      <c r="A9" s="182"/>
      <c r="B9" s="182"/>
      <c r="C9" s="182"/>
      <c r="D9" s="1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K9" s="122"/>
      <c r="BL9" s="122"/>
    </row>
    <row r="10" spans="1:64" ht="11.25" hidden="1" customHeight="1" x14ac:dyDescent="0.15">
      <c r="A10" s="182"/>
      <c r="B10" s="182"/>
      <c r="C10" s="182"/>
      <c r="D10" s="1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K10" s="122"/>
      <c r="BL10" s="122"/>
    </row>
    <row r="11" spans="1:64" ht="11.25" hidden="1" customHeight="1" x14ac:dyDescent="0.15">
      <c r="A11" s="182"/>
      <c r="B11" s="182"/>
      <c r="C11" s="182"/>
      <c r="D11" s="1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K11" s="122"/>
      <c r="BL11" s="122"/>
    </row>
    <row r="12" spans="1:64" ht="11.25" hidden="1" customHeight="1" x14ac:dyDescent="0.15">
      <c r="A12" s="182"/>
      <c r="B12" s="182"/>
      <c r="C12" s="182"/>
      <c r="D12" s="1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K12" s="122"/>
      <c r="BL12" s="122"/>
    </row>
    <row r="13" spans="1:64" ht="11.25" hidden="1" customHeight="1" x14ac:dyDescent="0.15">
      <c r="A13" s="182"/>
      <c r="B13" s="182"/>
      <c r="C13" s="182"/>
      <c r="D13" s="1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K13" s="122"/>
      <c r="BL13" s="122"/>
    </row>
    <row r="14" spans="1:64" ht="11.25" hidden="1" customHeight="1" x14ac:dyDescent="0.15">
      <c r="A14" s="182"/>
      <c r="B14" s="182"/>
      <c r="C14" s="182"/>
      <c r="D14" s="1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K14" s="122"/>
      <c r="BL14" s="122"/>
    </row>
    <row r="15" spans="1:64" ht="11.25" hidden="1" customHeight="1" x14ac:dyDescent="0.15">
      <c r="A15" s="182"/>
      <c r="B15" s="182"/>
      <c r="C15" s="182"/>
      <c r="D15" s="1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K15" s="122"/>
      <c r="BL15" s="122"/>
    </row>
    <row r="16" spans="1:64" ht="11.25" hidden="1" customHeight="1" x14ac:dyDescent="0.15">
      <c r="A16" s="182"/>
      <c r="B16" s="182"/>
      <c r="C16" s="182"/>
      <c r="D16" s="1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K16" s="122"/>
      <c r="BL16" s="122"/>
    </row>
    <row r="17" spans="1:64" ht="11.25" hidden="1" customHeight="1" x14ac:dyDescent="0.15">
      <c r="A17" s="182"/>
      <c r="B17" s="182"/>
      <c r="C17" s="182"/>
      <c r="D17" s="1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K17" s="122"/>
      <c r="BL17" s="122"/>
    </row>
    <row r="18" spans="1:64" ht="11.25" hidden="1" customHeight="1" x14ac:dyDescent="0.15">
      <c r="A18" s="182"/>
      <c r="B18" s="182"/>
      <c r="C18" s="182"/>
      <c r="D18" s="1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K18" s="122"/>
      <c r="BL18" s="122"/>
    </row>
    <row r="19" spans="1:64" ht="11.25" hidden="1" customHeight="1" x14ac:dyDescent="0.15">
      <c r="A19" s="182"/>
      <c r="B19" s="182"/>
      <c r="C19" s="182"/>
      <c r="D19" s="1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K19" s="122"/>
      <c r="BL19" s="122"/>
    </row>
    <row r="20" spans="1:64" ht="15" customHeight="1" x14ac:dyDescent="0.15">
      <c r="A20" s="182"/>
      <c r="B20" s="182"/>
      <c r="C20" s="182"/>
      <c r="D20" s="1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64" ht="36.75" customHeight="1" x14ac:dyDescent="0.15">
      <c r="A21" s="182"/>
      <c r="B21" s="182"/>
      <c r="C21" s="182"/>
      <c r="D21" s="15">
        <v>49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539" t="str">
        <f>ORG</f>
        <v>ООО "Энергонефть Томск"</v>
      </c>
    </row>
    <row r="22" spans="1:64" ht="27" customHeight="1" x14ac:dyDescent="0.15">
      <c r="A22" s="182"/>
      <c r="B22" s="182"/>
      <c r="C22" s="182"/>
      <c r="D22" s="15">
        <v>36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590" t="str">
        <f>"Отчетные данные об исполненных договорах об осуществлении технологического присоединения к электрическим сетям сетевой организации за "&amp;PRD&amp;" год"</f>
        <v>Отчетные данные об исполненных договорах об осуществлении технологического присоединения к электрическим сетям сетевой организации за 2025 год</v>
      </c>
      <c r="AC22" s="591"/>
      <c r="AD22" s="591"/>
      <c r="AE22" s="591"/>
      <c r="AF22" s="591"/>
      <c r="AG22" s="591"/>
      <c r="AH22" s="591"/>
      <c r="AI22" s="591"/>
      <c r="AJ22" s="591"/>
      <c r="AK22" s="591"/>
      <c r="AL22" s="591"/>
    </row>
    <row r="23" spans="1:64" ht="11.25" customHeight="1" x14ac:dyDescent="0.15">
      <c r="A23" s="182"/>
      <c r="B23" s="182"/>
      <c r="C23" s="182"/>
      <c r="D23" s="15">
        <v>15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64" ht="47.25" customHeight="1" x14ac:dyDescent="0.15">
      <c r="A24" s="182"/>
      <c r="B24" s="182"/>
      <c r="C24" s="182"/>
      <c r="D24" s="15">
        <v>63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B24" s="722" t="s">
        <v>1222</v>
      </c>
      <c r="AC24" s="723"/>
      <c r="AD24" s="723"/>
      <c r="AE24" s="723"/>
      <c r="AF24" s="723"/>
      <c r="AG24" s="724"/>
    </row>
    <row r="25" spans="1:64" ht="11.25" customHeight="1" x14ac:dyDescent="0.15">
      <c r="A25" s="182"/>
      <c r="B25" s="182"/>
      <c r="C25" s="182"/>
      <c r="D25" s="15">
        <v>15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G25" t="s">
        <v>1175</v>
      </c>
    </row>
    <row r="26" spans="1:64" ht="34.5" customHeight="1" x14ac:dyDescent="0.15">
      <c r="A26" s="182"/>
      <c r="B26" s="182"/>
      <c r="C26" s="182"/>
      <c r="D26" s="15">
        <v>46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B26" s="709" t="s">
        <v>687</v>
      </c>
      <c r="AC26" s="726" t="s">
        <v>688</v>
      </c>
      <c r="AD26" s="140" t="s">
        <v>1223</v>
      </c>
      <c r="AE26" s="727" t="s">
        <v>1224</v>
      </c>
      <c r="AF26" s="727"/>
      <c r="AG26" s="727"/>
    </row>
    <row r="27" spans="1:64" ht="25.5" customHeight="1" x14ac:dyDescent="0.15">
      <c r="A27" s="182"/>
      <c r="B27" s="182"/>
      <c r="C27" s="182"/>
      <c r="D27" s="15">
        <v>34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B27" s="710"/>
      <c r="AC27" s="726"/>
      <c r="AD27" s="113" t="s">
        <v>1225</v>
      </c>
      <c r="AE27" s="113" t="s">
        <v>1178</v>
      </c>
      <c r="AF27" s="113" t="s">
        <v>1179</v>
      </c>
      <c r="AG27" s="113" t="s">
        <v>1180</v>
      </c>
    </row>
    <row r="28" spans="1:64" ht="11.25" customHeight="1" x14ac:dyDescent="0.15">
      <c r="A28" s="182"/>
      <c r="B28" s="182"/>
      <c r="C28" s="182"/>
      <c r="D28" s="15">
        <v>15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B28" s="116"/>
      <c r="AC28" s="592" t="s">
        <v>112</v>
      </c>
      <c r="AD28" s="119" t="s">
        <v>692</v>
      </c>
      <c r="AE28" s="119" t="s">
        <v>143</v>
      </c>
      <c r="AF28" s="119" t="s">
        <v>151</v>
      </c>
      <c r="AG28" s="119" t="s">
        <v>158</v>
      </c>
    </row>
    <row r="29" spans="1:64" ht="45" customHeight="1" x14ac:dyDescent="0.15">
      <c r="A29" s="182"/>
      <c r="B29" s="182"/>
      <c r="C29" s="182"/>
      <c r="D29" s="15">
        <v>60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B29" s="118" t="s">
        <v>112</v>
      </c>
      <c r="AC29" s="593" t="s">
        <v>1181</v>
      </c>
      <c r="AD29" s="68"/>
      <c r="AE29" s="43"/>
      <c r="AF29" s="68"/>
      <c r="AG29" s="68"/>
    </row>
    <row r="30" spans="1:64" ht="22.5" customHeight="1" x14ac:dyDescent="0.15">
      <c r="A30" s="182"/>
      <c r="B30" s="182"/>
      <c r="C30" s="182"/>
      <c r="D30" s="15">
        <v>30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B30" s="118" t="s">
        <v>692</v>
      </c>
      <c r="AC30" s="112" t="s">
        <v>1182</v>
      </c>
      <c r="AD30" s="68"/>
      <c r="AE30" s="43"/>
      <c r="AF30" s="68"/>
      <c r="AG30" s="68"/>
    </row>
    <row r="31" spans="1:64" ht="11.25" customHeight="1" x14ac:dyDescent="0.15">
      <c r="A31" s="182"/>
      <c r="B31" s="182"/>
      <c r="C31" s="182"/>
      <c r="D31" s="15">
        <v>15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</row>
    <row r="32" spans="1:64" ht="11.25" hidden="1" customHeight="1" x14ac:dyDescent="0.15">
      <c r="A32" s="182"/>
      <c r="B32" s="182"/>
      <c r="C32" s="182"/>
      <c r="D32" s="15">
        <v>0</v>
      </c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</row>
    <row r="33" spans="1:62" ht="22.5" customHeight="1" x14ac:dyDescent="0.15">
      <c r="A33" s="182"/>
      <c r="B33" s="182"/>
      <c r="C33" s="182"/>
      <c r="D33" s="15">
        <v>30</v>
      </c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B33" s="725" t="str">
        <f>"Отчетные данные об исполненных за "&amp;PRD&amp;" договорах об осуществлении технологического присоединения к электрическим сетям"</f>
        <v>Отчетные данные об исполненных за 2025 договорах об осуществлении технологического присоединения к электрическим сетям</v>
      </c>
      <c r="AC33" s="725"/>
      <c r="AD33" s="725"/>
      <c r="AE33" s="725"/>
      <c r="AF33" s="725"/>
      <c r="AG33" s="725"/>
      <c r="AH33" s="725"/>
      <c r="AI33" s="725"/>
    </row>
    <row r="34" spans="1:62" ht="20.25" customHeight="1" x14ac:dyDescent="0.15">
      <c r="A34" s="182"/>
      <c r="B34" s="182"/>
      <c r="C34" s="182"/>
      <c r="D34" s="15">
        <v>27</v>
      </c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Y34" t="s">
        <v>1175</v>
      </c>
      <c r="AZ34" s="704" t="s">
        <v>817</v>
      </c>
      <c r="BA34" s="697"/>
      <c r="BB34" s="697"/>
      <c r="BC34" s="697"/>
      <c r="BD34" s="697"/>
      <c r="BE34" s="697"/>
      <c r="BF34" s="697"/>
      <c r="BG34" s="697"/>
      <c r="BH34" s="697"/>
      <c r="BI34" s="698"/>
    </row>
    <row r="35" spans="1:62" ht="52.5" customHeight="1" x14ac:dyDescent="0.15">
      <c r="A35" s="182"/>
      <c r="B35" s="182"/>
      <c r="C35" s="182"/>
      <c r="D35" s="15">
        <v>70</v>
      </c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B35" s="728" t="s">
        <v>687</v>
      </c>
      <c r="AC35" s="666" t="s">
        <v>1184</v>
      </c>
      <c r="AD35" s="666"/>
      <c r="AE35" s="666"/>
      <c r="AF35" s="666"/>
      <c r="AG35" s="666"/>
      <c r="AH35" s="666"/>
      <c r="AI35" s="666"/>
      <c r="AJ35" s="666"/>
      <c r="AK35" s="666"/>
      <c r="AL35" s="666"/>
      <c r="AM35" s="666"/>
      <c r="AN35" s="666"/>
      <c r="AO35" s="666"/>
      <c r="AP35" s="666"/>
      <c r="AQ35" s="666" t="s">
        <v>1226</v>
      </c>
      <c r="AR35" s="666"/>
      <c r="AS35" s="666" t="s">
        <v>1227</v>
      </c>
      <c r="AT35" s="666" t="s">
        <v>1228</v>
      </c>
      <c r="AU35" s="666" t="s">
        <v>1229</v>
      </c>
      <c r="AV35" s="666" t="s">
        <v>1230</v>
      </c>
      <c r="AW35" s="666" t="s">
        <v>1231</v>
      </c>
      <c r="AX35" s="666" t="s">
        <v>1232</v>
      </c>
      <c r="AY35" s="666" t="s">
        <v>1233</v>
      </c>
      <c r="AZ35" s="666" t="s">
        <v>1184</v>
      </c>
      <c r="BA35" s="666"/>
      <c r="BB35" s="666"/>
      <c r="BC35" s="666"/>
      <c r="BD35" s="666" t="s">
        <v>1234</v>
      </c>
      <c r="BE35" s="666" t="s">
        <v>1227</v>
      </c>
      <c r="BF35" s="666" t="s">
        <v>1228</v>
      </c>
      <c r="BG35" s="666" t="s">
        <v>1229</v>
      </c>
      <c r="BH35" s="666" t="s">
        <v>1232</v>
      </c>
      <c r="BI35" s="666" t="s">
        <v>1233</v>
      </c>
    </row>
    <row r="36" spans="1:62" ht="27" customHeight="1" x14ac:dyDescent="0.15">
      <c r="A36" s="182"/>
      <c r="B36" s="182"/>
      <c r="C36" s="182"/>
      <c r="D36" s="15">
        <v>36</v>
      </c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B36" s="728"/>
      <c r="AC36" s="666" t="s">
        <v>1235</v>
      </c>
      <c r="AD36" s="666" t="s">
        <v>1236</v>
      </c>
      <c r="AE36" s="666" t="s">
        <v>1187</v>
      </c>
      <c r="AF36" s="666" t="s">
        <v>1237</v>
      </c>
      <c r="AG36" s="666" t="s">
        <v>1189</v>
      </c>
      <c r="AH36" s="666" t="s">
        <v>1190</v>
      </c>
      <c r="AI36" s="666" t="s">
        <v>1191</v>
      </c>
      <c r="AJ36" s="666" t="s">
        <v>1238</v>
      </c>
      <c r="AK36" s="666"/>
      <c r="AL36" s="666"/>
      <c r="AM36" s="666" t="s">
        <v>1239</v>
      </c>
      <c r="AN36" s="666" t="s">
        <v>1192</v>
      </c>
      <c r="AO36" s="666" t="s">
        <v>1193</v>
      </c>
      <c r="AP36" s="666" t="s">
        <v>1240</v>
      </c>
      <c r="AQ36" s="666" t="s">
        <v>1241</v>
      </c>
      <c r="AR36" s="666" t="s">
        <v>1242</v>
      </c>
      <c r="AS36" s="666"/>
      <c r="AT36" s="666"/>
      <c r="AU36" s="666"/>
      <c r="AV36" s="666"/>
      <c r="AW36" s="666"/>
      <c r="AX36" s="666"/>
      <c r="AY36" s="666"/>
      <c r="AZ36" s="666" t="s">
        <v>1236</v>
      </c>
      <c r="BA36" s="666" t="s">
        <v>1238</v>
      </c>
      <c r="BB36" s="666"/>
      <c r="BC36" s="666"/>
      <c r="BD36" s="666"/>
      <c r="BE36" s="666"/>
      <c r="BF36" s="666"/>
      <c r="BG36" s="666"/>
      <c r="BH36" s="666"/>
      <c r="BI36" s="666"/>
    </row>
    <row r="37" spans="1:62" ht="45" customHeight="1" x14ac:dyDescent="0.15">
      <c r="A37" s="182"/>
      <c r="B37" s="182"/>
      <c r="C37" s="182"/>
      <c r="D37" s="15">
        <v>60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B37" s="728"/>
      <c r="AC37" s="666"/>
      <c r="AD37" s="666"/>
      <c r="AE37" s="666"/>
      <c r="AF37" s="666"/>
      <c r="AG37" s="666"/>
      <c r="AH37" s="666"/>
      <c r="AI37" s="666"/>
      <c r="AJ37" s="120" t="s">
        <v>1243</v>
      </c>
      <c r="AK37" s="120" t="s">
        <v>1244</v>
      </c>
      <c r="AL37" s="120" t="s">
        <v>1245</v>
      </c>
      <c r="AM37" s="666"/>
      <c r="AN37" s="666"/>
      <c r="AO37" s="666"/>
      <c r="AP37" s="666"/>
      <c r="AQ37" s="666"/>
      <c r="AR37" s="666"/>
      <c r="AS37" s="666"/>
      <c r="AT37" s="666"/>
      <c r="AU37" s="666"/>
      <c r="AV37" s="666"/>
      <c r="AW37" s="666"/>
      <c r="AX37" s="666"/>
      <c r="AY37" s="666"/>
      <c r="AZ37" s="666"/>
      <c r="BA37" s="120" t="s">
        <v>1243</v>
      </c>
      <c r="BB37" s="120" t="s">
        <v>1244</v>
      </c>
      <c r="BC37" s="120" t="s">
        <v>1245</v>
      </c>
      <c r="BD37" s="666"/>
      <c r="BE37" s="666"/>
      <c r="BF37" s="666"/>
      <c r="BG37" s="666"/>
      <c r="BH37" s="666"/>
      <c r="BI37" s="666"/>
    </row>
    <row r="38" spans="1:62" ht="11.25" customHeight="1" x14ac:dyDescent="0.15">
      <c r="A38" s="182"/>
      <c r="B38" s="182"/>
      <c r="C38" s="182"/>
      <c r="D38" s="15">
        <v>15</v>
      </c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B38" s="123"/>
      <c r="AC38" s="123" t="s">
        <v>112</v>
      </c>
      <c r="AD38" s="123" t="s">
        <v>692</v>
      </c>
      <c r="AE38" s="123" t="s">
        <v>143</v>
      </c>
      <c r="AF38" s="123" t="s">
        <v>151</v>
      </c>
      <c r="AG38" s="123" t="s">
        <v>158</v>
      </c>
      <c r="AH38" s="123" t="s">
        <v>703</v>
      </c>
      <c r="AI38" s="123" t="s">
        <v>704</v>
      </c>
      <c r="AJ38" s="123" t="s">
        <v>705</v>
      </c>
      <c r="AK38" s="123" t="s">
        <v>706</v>
      </c>
      <c r="AL38" s="123" t="s">
        <v>707</v>
      </c>
      <c r="AM38" s="123" t="s">
        <v>708</v>
      </c>
      <c r="AN38" s="123" t="s">
        <v>709</v>
      </c>
      <c r="AO38" s="123" t="s">
        <v>710</v>
      </c>
      <c r="AP38" s="123" t="s">
        <v>711</v>
      </c>
      <c r="AQ38" s="123" t="s">
        <v>712</v>
      </c>
      <c r="AR38" s="123" t="s">
        <v>1203</v>
      </c>
      <c r="AS38" s="123" t="s">
        <v>1204</v>
      </c>
      <c r="AT38" s="123" t="s">
        <v>1205</v>
      </c>
      <c r="AU38" s="123" t="s">
        <v>1206</v>
      </c>
      <c r="AV38" s="123" t="s">
        <v>1207</v>
      </c>
      <c r="AW38" s="123" t="s">
        <v>1208</v>
      </c>
      <c r="AX38" s="123" t="s">
        <v>1209</v>
      </c>
      <c r="AY38" s="123" t="s">
        <v>1210</v>
      </c>
      <c r="AZ38" s="123" t="s">
        <v>1211</v>
      </c>
      <c r="BA38" s="123" t="s">
        <v>1212</v>
      </c>
      <c r="BB38" s="123" t="s">
        <v>1246</v>
      </c>
      <c r="BC38" s="123" t="s">
        <v>1247</v>
      </c>
      <c r="BD38" s="123" t="s">
        <v>905</v>
      </c>
      <c r="BE38" s="123" t="s">
        <v>1248</v>
      </c>
      <c r="BF38" s="123" t="s">
        <v>1249</v>
      </c>
      <c r="BG38" s="123" t="s">
        <v>1250</v>
      </c>
      <c r="BH38" s="123" t="s">
        <v>1251</v>
      </c>
      <c r="BI38" s="123" t="s">
        <v>1252</v>
      </c>
    </row>
    <row r="39" spans="1:62" ht="27" customHeight="1" x14ac:dyDescent="0.15">
      <c r="A39" s="182"/>
      <c r="B39" s="182"/>
      <c r="C39" s="182"/>
      <c r="D39" s="15">
        <v>36</v>
      </c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B39" s="126" t="s">
        <v>112</v>
      </c>
      <c r="AC39" s="729" t="s">
        <v>1213</v>
      </c>
      <c r="AD39" s="730"/>
      <c r="AE39" s="730"/>
      <c r="AF39" s="730"/>
      <c r="AG39" s="730"/>
      <c r="AH39" s="730"/>
      <c r="AI39" s="730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</row>
    <row r="40" spans="1:62" ht="23.25" hidden="1" customHeight="1" x14ac:dyDescent="0.15">
      <c r="A40" s="182"/>
      <c r="B40" s="182" t="b">
        <f>AB40&lt;&gt;$AB$40</f>
        <v>0</v>
      </c>
      <c r="C40" s="182"/>
      <c r="D40" s="15">
        <v>31</v>
      </c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28" t="s">
        <v>701</v>
      </c>
      <c r="AB40" s="149" t="s">
        <v>906</v>
      </c>
      <c r="AC40" s="572"/>
      <c r="AD40" s="552"/>
      <c r="AE40" s="572"/>
      <c r="AF40" s="553"/>
      <c r="AG40" s="553"/>
      <c r="AH40" s="554"/>
      <c r="AI40" s="554"/>
      <c r="AJ40" s="594">
        <f>SUM(AK40:AL40)</f>
        <v>0</v>
      </c>
      <c r="AK40" s="595"/>
      <c r="AL40" s="595"/>
      <c r="AM40" s="554"/>
      <c r="AN40" s="555"/>
      <c r="AO40" s="555"/>
      <c r="AP40" s="554"/>
      <c r="AQ40" s="554"/>
      <c r="AR40" s="552"/>
      <c r="AS40" s="596">
        <f>IF(AD40=0,0,NETWORKDAYS(AR40,AD40))</f>
        <v>0</v>
      </c>
      <c r="AT40" s="597" t="str">
        <f>IF(AO40="","",IF(AO40="Постоянная",730,15))</f>
        <v/>
      </c>
      <c r="AU40" s="144" t="str">
        <f>IF(AS40&gt;=AT40,"Да","Нет")</f>
        <v>Нет</v>
      </c>
      <c r="AV40" s="555"/>
      <c r="AW40" s="598"/>
      <c r="AX40" s="553"/>
      <c r="AY40" s="553"/>
      <c r="AZ40" s="558">
        <f>IF(AD40="",0,AD40)</f>
        <v>0</v>
      </c>
      <c r="BA40" s="599">
        <f>SUM(BB40:BC40)</f>
        <v>0</v>
      </c>
      <c r="BB40" s="600">
        <f>AK40</f>
        <v>0</v>
      </c>
      <c r="BC40" s="600">
        <f>AL40</f>
        <v>0</v>
      </c>
      <c r="BD40" s="558">
        <f>IF(AR40="",0,AR40)</f>
        <v>0</v>
      </c>
      <c r="BE40" s="152">
        <f>IFERROR((BD40-AZ40),"-")</f>
        <v>0</v>
      </c>
      <c r="BF40" s="559" t="str">
        <f>AT40</f>
        <v/>
      </c>
      <c r="BG40" s="144" t="str">
        <f>IF(BE40&gt;=BF40,"Да","Нет")</f>
        <v>Нет</v>
      </c>
      <c r="BH40" s="601">
        <f>AX40</f>
        <v>0</v>
      </c>
      <c r="BI40" s="554">
        <f>AY40</f>
        <v>0</v>
      </c>
      <c r="BJ40" t="s">
        <v>702</v>
      </c>
    </row>
    <row r="41" spans="1:62" ht="11.25" customHeight="1" x14ac:dyDescent="0.15">
      <c r="D41" s="137">
        <v>15</v>
      </c>
      <c r="AB41" s="145"/>
      <c r="AC41" s="146" t="s">
        <v>1214</v>
      </c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62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8"/>
    </row>
    <row r="42" spans="1:62" ht="24.75" customHeight="1" x14ac:dyDescent="0.15">
      <c r="A42" s="182"/>
      <c r="B42" s="182"/>
      <c r="C42" s="182"/>
      <c r="D42" s="15">
        <v>33</v>
      </c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B42" s="142" t="s">
        <v>692</v>
      </c>
      <c r="AC42" s="731" t="s">
        <v>1215</v>
      </c>
      <c r="AD42" s="732"/>
      <c r="AE42" s="732"/>
      <c r="AF42" s="732"/>
      <c r="AG42" s="732"/>
      <c r="AH42" s="732"/>
      <c r="AI42" s="732"/>
      <c r="AJ42" s="125"/>
      <c r="AK42" s="125"/>
      <c r="AL42" s="125"/>
      <c r="AM42" s="125"/>
      <c r="AN42" s="125"/>
      <c r="AO42" s="125"/>
      <c r="AP42" s="125"/>
      <c r="AQ42" s="125"/>
      <c r="AR42" s="125"/>
      <c r="AS42" s="163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</row>
    <row r="43" spans="1:62" ht="23.25" hidden="1" customHeight="1" x14ac:dyDescent="0.15">
      <c r="A43" s="182"/>
      <c r="B43" s="182" t="b">
        <f>AB43&lt;&gt;$AB$43</f>
        <v>0</v>
      </c>
      <c r="C43" s="182"/>
      <c r="D43" s="15">
        <v>31</v>
      </c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28" t="s">
        <v>701</v>
      </c>
      <c r="AB43" s="149" t="s">
        <v>1216</v>
      </c>
      <c r="AC43" s="572"/>
      <c r="AD43" s="552"/>
      <c r="AE43" s="572"/>
      <c r="AF43" s="553"/>
      <c r="AG43" s="553"/>
      <c r="AH43" s="554"/>
      <c r="AI43" s="554"/>
      <c r="AJ43" s="151">
        <f>SUM(AK43:AL43)</f>
        <v>0</v>
      </c>
      <c r="AK43" s="595"/>
      <c r="AL43" s="595"/>
      <c r="AM43" s="554"/>
      <c r="AN43" s="555"/>
      <c r="AO43" s="555"/>
      <c r="AP43" s="554"/>
      <c r="AQ43" s="554"/>
      <c r="AR43" s="552"/>
      <c r="AS43" s="152">
        <f>IF(AD43=0,0,NETWORKDAYS(AR43,AD43))</f>
        <v>0</v>
      </c>
      <c r="AT43" s="161" t="str">
        <f>IF(AO43="","",IF(AO43="Постоянная",180,15))</f>
        <v/>
      </c>
      <c r="AU43" s="144" t="str">
        <f>IF(AS43&gt;=AT43,"Да","Нет")</f>
        <v>Нет</v>
      </c>
      <c r="AV43" s="555"/>
      <c r="AW43" s="598"/>
      <c r="AX43" s="553"/>
      <c r="AY43" s="553"/>
      <c r="AZ43" s="558">
        <f>IF(AD43="",0,AD43)</f>
        <v>0</v>
      </c>
      <c r="BA43" s="153">
        <f>SUM(BB43:BC43)</f>
        <v>0</v>
      </c>
      <c r="BB43" s="600">
        <f>AK43</f>
        <v>0</v>
      </c>
      <c r="BC43" s="600">
        <f>AL43</f>
        <v>0</v>
      </c>
      <c r="BD43" s="558">
        <f>IF(AR43="",0,AR43)</f>
        <v>0</v>
      </c>
      <c r="BE43" s="152">
        <f>IFERROR((BD43-AZ43),"-")</f>
        <v>0</v>
      </c>
      <c r="BF43" s="559" t="str">
        <f>AT43</f>
        <v/>
      </c>
      <c r="BG43" s="144" t="str">
        <f>IF(BE43&gt;=BF43,"Да","Нет")</f>
        <v>Нет</v>
      </c>
      <c r="BH43" s="601">
        <f>AX43</f>
        <v>0</v>
      </c>
      <c r="BI43" s="554">
        <f>AY43</f>
        <v>0</v>
      </c>
      <c r="BJ43" t="s">
        <v>702</v>
      </c>
    </row>
    <row r="44" spans="1:62" ht="11.25" customHeight="1" x14ac:dyDescent="0.15">
      <c r="D44" s="137">
        <v>15</v>
      </c>
      <c r="AB44" s="145"/>
      <c r="AC44" s="146" t="s">
        <v>1214</v>
      </c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62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8"/>
    </row>
    <row r="45" spans="1:62" ht="39" customHeight="1" x14ac:dyDescent="0.15">
      <c r="A45" s="182"/>
      <c r="B45" s="182"/>
      <c r="C45" s="182"/>
      <c r="D45" s="15">
        <v>52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B45" s="602" t="s">
        <v>143</v>
      </c>
      <c r="AC45" s="731" t="s">
        <v>1217</v>
      </c>
      <c r="AD45" s="732"/>
      <c r="AE45" s="732"/>
      <c r="AF45" s="732"/>
      <c r="AG45" s="732"/>
      <c r="AH45" s="732"/>
      <c r="AI45" s="732"/>
      <c r="AJ45" s="125"/>
      <c r="AK45" s="125"/>
      <c r="AL45" s="125"/>
      <c r="AM45" s="125"/>
      <c r="AN45" s="125"/>
      <c r="AO45" s="125"/>
      <c r="AP45" s="125"/>
      <c r="AQ45" s="125"/>
      <c r="AR45" s="125"/>
      <c r="AS45" s="163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</row>
    <row r="46" spans="1:62" ht="23.25" hidden="1" customHeight="1" x14ac:dyDescent="0.15">
      <c r="A46" s="182"/>
      <c r="B46" s="182" t="b">
        <f>AB46&lt;&gt;$AB$46</f>
        <v>0</v>
      </c>
      <c r="C46" s="182"/>
      <c r="D46" s="15">
        <v>31</v>
      </c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28" t="s">
        <v>701</v>
      </c>
      <c r="AB46" s="603" t="s">
        <v>1218</v>
      </c>
      <c r="AC46" s="572"/>
      <c r="AD46" s="552"/>
      <c r="AE46" s="572"/>
      <c r="AF46" s="553"/>
      <c r="AG46" s="553"/>
      <c r="AH46" s="554"/>
      <c r="AI46" s="554"/>
      <c r="AJ46" s="151">
        <f>SUM(AK46:AL46)</f>
        <v>0</v>
      </c>
      <c r="AK46" s="595"/>
      <c r="AL46" s="595"/>
      <c r="AM46" s="554"/>
      <c r="AN46" s="555"/>
      <c r="AO46" s="555"/>
      <c r="AP46" s="554"/>
      <c r="AQ46" s="554"/>
      <c r="AR46" s="552"/>
      <c r="AS46" s="152">
        <f>IF(AD46=0,0,NETWORKDAYS(AR46,AD46))</f>
        <v>0</v>
      </c>
      <c r="AT46" s="161" t="str">
        <f>IF(AO46="","",IF(AO46="Постоянная",365,15))</f>
        <v/>
      </c>
      <c r="AU46" s="144" t="str">
        <f>IF(AS46&gt;=AT46,"Да","Нет")</f>
        <v>Нет</v>
      </c>
      <c r="AV46" s="555"/>
      <c r="AW46" s="598"/>
      <c r="AX46" s="553"/>
      <c r="AY46" s="553"/>
      <c r="AZ46" s="558">
        <f>IF(AD46="",0,AD46)</f>
        <v>0</v>
      </c>
      <c r="BA46" s="153">
        <f>SUM(BB46:BC46)</f>
        <v>0</v>
      </c>
      <c r="BB46" s="600">
        <f>AK46</f>
        <v>0</v>
      </c>
      <c r="BC46" s="600">
        <f>AL46</f>
        <v>0</v>
      </c>
      <c r="BD46" s="558">
        <f>IF(AR46="",0,AR46)</f>
        <v>0</v>
      </c>
      <c r="BE46" s="152">
        <f>IFERROR((BD46-AZ46),"-")</f>
        <v>0</v>
      </c>
      <c r="BF46" s="559" t="str">
        <f>AT46</f>
        <v/>
      </c>
      <c r="BG46" s="144" t="str">
        <f>IF(BE46&gt;=BF46,"Да","Нет")</f>
        <v>Нет</v>
      </c>
      <c r="BH46" s="601">
        <f>AX46</f>
        <v>0</v>
      </c>
      <c r="BI46" s="554">
        <f>AY46</f>
        <v>0</v>
      </c>
      <c r="BJ46" t="s">
        <v>702</v>
      </c>
    </row>
    <row r="47" spans="1:62" ht="11.25" customHeight="1" x14ac:dyDescent="0.15">
      <c r="D47" s="137">
        <v>15</v>
      </c>
      <c r="AB47" s="145"/>
      <c r="AC47" s="146" t="s">
        <v>1214</v>
      </c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62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</row>
    <row r="48" spans="1:62" ht="39" customHeight="1" x14ac:dyDescent="0.15">
      <c r="A48" s="182"/>
      <c r="B48" s="182"/>
      <c r="C48" s="182"/>
      <c r="D48" s="15">
        <v>52</v>
      </c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B48" s="142" t="s">
        <v>151</v>
      </c>
      <c r="AC48" s="731" t="s">
        <v>1219</v>
      </c>
      <c r="AD48" s="732"/>
      <c r="AE48" s="732"/>
      <c r="AF48" s="732"/>
      <c r="AG48" s="732"/>
      <c r="AH48" s="732"/>
      <c r="AI48" s="732"/>
      <c r="AJ48" s="125"/>
      <c r="AK48" s="125"/>
      <c r="AL48" s="125"/>
      <c r="AM48" s="125"/>
      <c r="AN48" s="125"/>
      <c r="AO48" s="125"/>
      <c r="AP48" s="125"/>
      <c r="AQ48" s="125"/>
      <c r="AR48" s="125"/>
      <c r="AS48" s="163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</row>
    <row r="49" spans="1:63" ht="23.25" hidden="1" customHeight="1" x14ac:dyDescent="0.15">
      <c r="A49" s="182"/>
      <c r="B49" s="182" t="b">
        <f>AB49&lt;&gt;$AB$49</f>
        <v>0</v>
      </c>
      <c r="C49" s="182"/>
      <c r="D49" s="15">
        <v>31</v>
      </c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28" t="s">
        <v>701</v>
      </c>
      <c r="AB49" s="149" t="s">
        <v>1220</v>
      </c>
      <c r="AC49" s="572"/>
      <c r="AD49" s="552"/>
      <c r="AE49" s="572"/>
      <c r="AF49" s="553"/>
      <c r="AG49" s="553"/>
      <c r="AH49" s="554"/>
      <c r="AI49" s="554"/>
      <c r="AJ49" s="151">
        <f>SUM(AK49:AL49)</f>
        <v>0</v>
      </c>
      <c r="AK49" s="595"/>
      <c r="AL49" s="595"/>
      <c r="AM49" s="554"/>
      <c r="AN49" s="555"/>
      <c r="AO49" s="555"/>
      <c r="AP49" s="554"/>
      <c r="AQ49" s="554"/>
      <c r="AR49" s="552"/>
      <c r="AS49" s="152">
        <f>IF(AD49=0,0,NETWORKDAYS(AR49,AD49))</f>
        <v>0</v>
      </c>
      <c r="AT49" s="161" t="str">
        <f>IF(AO49="","",IF(AO49="Постоянная",180,15))</f>
        <v/>
      </c>
      <c r="AU49" s="144" t="str">
        <f>IF(AS49&gt;=AT49,"Да","Нет")</f>
        <v>Нет</v>
      </c>
      <c r="AV49" s="555"/>
      <c r="AW49" s="598"/>
      <c r="AX49" s="553"/>
      <c r="AY49" s="553"/>
      <c r="AZ49" s="558">
        <f>IF(AD49="",0,AD49)</f>
        <v>0</v>
      </c>
      <c r="BA49" s="153">
        <f>SUM(BB49:BC49)</f>
        <v>0</v>
      </c>
      <c r="BB49" s="600">
        <f>AK49</f>
        <v>0</v>
      </c>
      <c r="BC49" s="600">
        <f>AL49</f>
        <v>0</v>
      </c>
      <c r="BD49" s="558">
        <f>IF(AR49="",0,AR49)</f>
        <v>0</v>
      </c>
      <c r="BE49" s="152">
        <f>IFERROR((BD49-AZ49),"-")</f>
        <v>0</v>
      </c>
      <c r="BF49" s="559" t="str">
        <f>AT49</f>
        <v/>
      </c>
      <c r="BG49" s="144" t="str">
        <f>IF(BE49&gt;=BF49,"Да","Нет")</f>
        <v>Нет</v>
      </c>
      <c r="BH49" s="601">
        <f>AX49</f>
        <v>0</v>
      </c>
      <c r="BI49" s="554">
        <f>AY49</f>
        <v>0</v>
      </c>
      <c r="BJ49" t="s">
        <v>702</v>
      </c>
    </row>
    <row r="50" spans="1:63" ht="11.25" customHeight="1" x14ac:dyDescent="0.15">
      <c r="D50" s="137">
        <v>15</v>
      </c>
      <c r="AB50" s="145"/>
      <c r="AC50" s="146" t="s">
        <v>1214</v>
      </c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8"/>
    </row>
    <row r="51" spans="1:63" ht="11.25" hidden="1" customHeight="1" x14ac:dyDescent="0.15">
      <c r="A51" s="182"/>
      <c r="B51" s="182"/>
      <c r="C51" s="182"/>
      <c r="D51" s="136">
        <v>0</v>
      </c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BK51" t="s">
        <v>71</v>
      </c>
    </row>
  </sheetData>
  <sheetProtection insertRows="0" deleteColumns="0" deleteRows="0" sort="0" autoFilter="0"/>
  <mergeCells count="43">
    <mergeCell ref="AC39:AI39"/>
    <mergeCell ref="AC42:AI42"/>
    <mergeCell ref="AC45:AI45"/>
    <mergeCell ref="AC48:AI48"/>
    <mergeCell ref="BF35:BF37"/>
    <mergeCell ref="AJ36:AL36"/>
    <mergeCell ref="AC36:AC37"/>
    <mergeCell ref="BD35:BD37"/>
    <mergeCell ref="AP36:AP37"/>
    <mergeCell ref="AQ35:AR35"/>
    <mergeCell ref="AX35:AX37"/>
    <mergeCell ref="AY35:AY37"/>
    <mergeCell ref="AQ36:AQ37"/>
    <mergeCell ref="AR36:AR37"/>
    <mergeCell ref="AZ35:BC35"/>
    <mergeCell ref="AS35:AS37"/>
    <mergeCell ref="BA36:BC36"/>
    <mergeCell ref="AZ36:AZ37"/>
    <mergeCell ref="AB35:AB37"/>
    <mergeCell ref="AC35:AP35"/>
    <mergeCell ref="AW35:AW37"/>
    <mergeCell ref="AV35:AV37"/>
    <mergeCell ref="AM36:AM37"/>
    <mergeCell ref="AN36:AN37"/>
    <mergeCell ref="AO36:AO37"/>
    <mergeCell ref="AU35:AU37"/>
    <mergeCell ref="AT35:AT37"/>
    <mergeCell ref="AB24:AG24"/>
    <mergeCell ref="BG35:BG37"/>
    <mergeCell ref="BH35:BH37"/>
    <mergeCell ref="AZ34:BI34"/>
    <mergeCell ref="AB33:AI33"/>
    <mergeCell ref="AC26:AC27"/>
    <mergeCell ref="AE26:AG26"/>
    <mergeCell ref="AB26:AB27"/>
    <mergeCell ref="AD36:AD37"/>
    <mergeCell ref="AE36:AE37"/>
    <mergeCell ref="AF36:AF37"/>
    <mergeCell ref="AG36:AG37"/>
    <mergeCell ref="AH36:AH37"/>
    <mergeCell ref="AI36:AI37"/>
    <mergeCell ref="BI35:BI37"/>
    <mergeCell ref="BE35:BE37"/>
  </mergeCells>
  <dataValidations count="3">
    <dataValidation type="list" allowBlank="1" showInputMessage="1" showErrorMessage="1" errorTitle="Ошибка" error="Выберите значение из списка" prompt="Выберите значение из списка" sqref="AW40 AW43 AW46 AW49">
      <formula1>doc_list</formula1>
    </dataValidation>
    <dataValidation type="list" allowBlank="1" showInputMessage="1" showErrorMessage="1" errorTitle="Ошибка" error="Выберите значение из списка" prompt="Выберите значение из списка" sqref="AO40 AO43 AO46 AO49">
      <formula1>Shema_TP</formula1>
    </dataValidation>
    <dataValidation type="list" allowBlank="1" showInputMessage="1" showErrorMessage="1" errorTitle="Ошибка" error="Выберите значение из списка" prompt="Выберите значение из списка" sqref="AN40 AN43 AN46 AN49 AV40 AV43 AV46 AV49">
      <formula1>logic</formula1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C13"/>
  <sheetViews>
    <sheetView showGridLines="0" workbookViewId="0">
      <selection sqref="A1:C1"/>
    </sheetView>
  </sheetViews>
  <sheetFormatPr defaultRowHeight="11.25" customHeight="1" x14ac:dyDescent="0.15"/>
  <cols>
    <col min="1" max="1" width="9.28515625" style="166" customWidth="1"/>
    <col min="2" max="2" width="13.7109375" style="166" customWidth="1"/>
    <col min="3" max="3" width="13.5703125" style="166" customWidth="1"/>
  </cols>
  <sheetData>
    <row r="1" spans="1:3" ht="11.25" customHeight="1" x14ac:dyDescent="0.15">
      <c r="A1" s="638" t="s">
        <v>2</v>
      </c>
      <c r="B1" s="638"/>
      <c r="C1" s="639"/>
    </row>
    <row r="2" spans="1:3" ht="11.25" customHeight="1" x14ac:dyDescent="0.15">
      <c r="A2" s="167" t="s">
        <v>3</v>
      </c>
      <c r="B2" s="168" t="s">
        <v>4</v>
      </c>
      <c r="C2" s="169" t="s">
        <v>5</v>
      </c>
    </row>
    <row r="3" spans="1:3" ht="11.25" customHeight="1" x14ac:dyDescent="0.15">
      <c r="A3" s="170" t="s">
        <v>6</v>
      </c>
      <c r="B3" s="92" t="s">
        <v>7</v>
      </c>
      <c r="C3" s="171" t="s">
        <v>8</v>
      </c>
    </row>
    <row r="4" spans="1:3" ht="11.25" customHeight="1" x14ac:dyDescent="0.15">
      <c r="A4" s="92" t="s">
        <v>9</v>
      </c>
      <c r="B4" s="92" t="s">
        <v>10</v>
      </c>
      <c r="C4" s="128" t="s">
        <v>11</v>
      </c>
    </row>
    <row r="5" spans="1:3" ht="11.25" customHeight="1" x14ac:dyDescent="0.15">
      <c r="A5" s="92" t="s">
        <v>12</v>
      </c>
      <c r="B5" s="92" t="s">
        <v>13</v>
      </c>
      <c r="C5" s="128" t="s">
        <v>11</v>
      </c>
    </row>
    <row r="6" spans="1:3" ht="11.25" customHeight="1" x14ac:dyDescent="0.15">
      <c r="A6" s="92" t="s">
        <v>14</v>
      </c>
      <c r="B6" s="92" t="s">
        <v>15</v>
      </c>
      <c r="C6" s="128" t="s">
        <v>11</v>
      </c>
    </row>
    <row r="7" spans="1:3" ht="11.25" customHeight="1" x14ac:dyDescent="0.15">
      <c r="A7" s="92" t="s">
        <v>16</v>
      </c>
      <c r="B7" s="92" t="s">
        <v>17</v>
      </c>
      <c r="C7" s="128" t="s">
        <v>11</v>
      </c>
    </row>
    <row r="8" spans="1:3" ht="11.25" customHeight="1" x14ac:dyDescent="0.15">
      <c r="A8" s="92" t="s">
        <v>18</v>
      </c>
      <c r="B8" s="92" t="s">
        <v>19</v>
      </c>
      <c r="C8" s="128" t="s">
        <v>11</v>
      </c>
    </row>
    <row r="9" spans="1:3" ht="11.25" customHeight="1" x14ac:dyDescent="0.15">
      <c r="A9" s="92" t="s">
        <v>20</v>
      </c>
      <c r="B9" s="92" t="s">
        <v>21</v>
      </c>
      <c r="C9" s="128" t="s">
        <v>11</v>
      </c>
    </row>
    <row r="10" spans="1:3" ht="11.25" customHeight="1" x14ac:dyDescent="0.15">
      <c r="A10" s="92" t="s">
        <v>22</v>
      </c>
      <c r="B10" s="92" t="s">
        <v>23</v>
      </c>
      <c r="C10" s="128" t="s">
        <v>11</v>
      </c>
    </row>
    <row r="11" spans="1:3" ht="11.25" customHeight="1" x14ac:dyDescent="0.15">
      <c r="A11" s="92" t="s">
        <v>24</v>
      </c>
      <c r="B11" s="92" t="s">
        <v>25</v>
      </c>
      <c r="C11" s="128" t="s">
        <v>11</v>
      </c>
    </row>
    <row r="12" spans="1:3" ht="11.25" customHeight="1" x14ac:dyDescent="0.15">
      <c r="A12" s="92" t="s">
        <v>26</v>
      </c>
      <c r="B12" s="92" t="s">
        <v>27</v>
      </c>
      <c r="C12" s="128" t="s">
        <v>11</v>
      </c>
    </row>
    <row r="13" spans="1:3" ht="11.25" customHeight="1" x14ac:dyDescent="0.15">
      <c r="A13" s="92" t="s">
        <v>28</v>
      </c>
      <c r="B13" s="92" t="s">
        <v>29</v>
      </c>
      <c r="C13" s="128" t="s">
        <v>11</v>
      </c>
    </row>
  </sheetData>
  <sheetProtection insertRows="0" deleteColumns="0" deleteRows="0" sort="0" autoFilter="0"/>
  <mergeCells count="1">
    <mergeCell ref="A1:C1"/>
  </mergeCells>
  <dataValidations count="1">
    <dataValidation type="list" allowBlank="1" showInputMessage="1" showErrorMessage="1" errorTitle="Внимание!" error="Введенное значение неверно. Выберите значение из списка" prompt="Выберите значение из списка" sqref="C3:C13">
      <formula1>"да,нет"</formula1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I47"/>
  <sheetViews>
    <sheetView showGridLines="0" topLeftCell="AA20" workbookViewId="0">
      <selection activeCell="AE36" sqref="AE36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4" style="166" customWidth="1"/>
    <col min="29" max="29" width="46" style="166" customWidth="1"/>
    <col min="30" max="30" width="20" style="166" customWidth="1"/>
    <col min="31" max="31" width="18.5703125" style="166" customWidth="1"/>
    <col min="32" max="32" width="18.5703125" style="166" hidden="1" customWidth="1"/>
    <col min="33" max="34" width="18.5703125" style="129" hidden="1" customWidth="1"/>
    <col min="35" max="35" width="9.140625" hidden="1"/>
  </cols>
  <sheetData>
    <row r="1" spans="1:35" ht="22.5" hidden="1" customHeight="1" x14ac:dyDescent="0.15">
      <c r="A1" s="182"/>
      <c r="B1" s="182"/>
      <c r="C1" s="182"/>
      <c r="D1" s="183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22"/>
      <c r="AH1" s="122"/>
      <c r="AI1" s="122"/>
    </row>
    <row r="2" spans="1:35" ht="12.75" hidden="1" customHeight="1" x14ac:dyDescent="0.15">
      <c r="A2" s="182"/>
      <c r="B2" s="182"/>
      <c r="C2" s="182"/>
      <c r="D2" s="183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 t="b">
        <f>REGION_NAME&lt;&gt;"г.Санкт-Петербург"</f>
        <v>1</v>
      </c>
      <c r="AF2" s="59" t="b">
        <f>AND(REGION_NAME&lt;&gt;"г.Санкт-Петербург",REPORT_OWNER="Версия регулятора")</f>
        <v>0</v>
      </c>
      <c r="AG2" s="122" t="b">
        <f>REGION_NAME="г.Санкт-Петербург"</f>
        <v>0</v>
      </c>
      <c r="AH2" s="59" t="b">
        <f>AND(REGION_NAME="г.Санкт-Петербург",REPORT_OWNER="Версия регулятора")</f>
        <v>0</v>
      </c>
      <c r="AI2" s="122"/>
    </row>
    <row r="3" spans="1:35" ht="11.25" hidden="1" customHeight="1" x14ac:dyDescent="0.15">
      <c r="A3" s="182"/>
      <c r="B3" s="182"/>
      <c r="C3" s="182"/>
      <c r="D3" s="183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22"/>
      <c r="AH3" s="122"/>
      <c r="AI3" s="122"/>
    </row>
    <row r="4" spans="1:35" ht="12.75" hidden="1" customHeight="1" x14ac:dyDescent="0.15">
      <c r="A4" s="183"/>
      <c r="B4" s="183"/>
      <c r="C4" s="183"/>
      <c r="D4" s="183"/>
      <c r="E4" s="185">
        <v>61</v>
      </c>
      <c r="F4" s="185">
        <v>61</v>
      </c>
      <c r="G4" s="185">
        <v>61</v>
      </c>
      <c r="H4" s="185">
        <v>61</v>
      </c>
      <c r="I4" s="185">
        <v>61</v>
      </c>
      <c r="J4" s="185">
        <v>61</v>
      </c>
      <c r="K4" s="185">
        <v>61</v>
      </c>
      <c r="L4" s="185">
        <v>61</v>
      </c>
      <c r="M4" s="185">
        <v>61</v>
      </c>
      <c r="N4" s="185">
        <v>61</v>
      </c>
      <c r="O4" s="185">
        <v>61</v>
      </c>
      <c r="P4" s="185">
        <v>61</v>
      </c>
      <c r="Q4" s="185">
        <v>61</v>
      </c>
      <c r="R4" s="185">
        <v>61</v>
      </c>
      <c r="S4" s="185">
        <v>61</v>
      </c>
      <c r="T4" s="185">
        <v>61</v>
      </c>
      <c r="U4" s="185">
        <v>61</v>
      </c>
      <c r="V4" s="185">
        <v>61</v>
      </c>
      <c r="W4" s="185">
        <v>61</v>
      </c>
      <c r="X4" s="185">
        <v>61</v>
      </c>
      <c r="Y4" s="185">
        <v>61</v>
      </c>
      <c r="Z4" s="185">
        <v>61</v>
      </c>
      <c r="AA4" s="185">
        <v>26</v>
      </c>
      <c r="AB4" s="185">
        <v>28</v>
      </c>
      <c r="AC4" s="185">
        <v>322</v>
      </c>
      <c r="AD4" s="185">
        <v>140</v>
      </c>
      <c r="AE4" s="185">
        <v>130</v>
      </c>
      <c r="AF4" s="185">
        <v>130</v>
      </c>
      <c r="AG4" s="14">
        <v>130</v>
      </c>
      <c r="AH4" s="14">
        <v>130</v>
      </c>
      <c r="AI4" s="15">
        <v>0</v>
      </c>
    </row>
    <row r="5" spans="1:35" ht="11.25" hidden="1" customHeight="1" x14ac:dyDescent="0.15">
      <c r="A5" s="182"/>
      <c r="B5" s="182"/>
      <c r="C5" s="182"/>
      <c r="D5" s="185">
        <v>35</v>
      </c>
      <c r="E5" s="154" t="s">
        <v>600</v>
      </c>
      <c r="F5" s="604"/>
      <c r="G5" s="604"/>
      <c r="H5" s="659" t="s">
        <v>601</v>
      </c>
      <c r="I5" s="659" t="s">
        <v>602</v>
      </c>
      <c r="J5" s="659" t="s">
        <v>603</v>
      </c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22"/>
      <c r="AH5" s="122"/>
      <c r="AI5" s="122"/>
    </row>
    <row r="6" spans="1:35" ht="11.25" hidden="1" customHeight="1" x14ac:dyDescent="0.15">
      <c r="A6" s="182"/>
      <c r="B6" s="182"/>
      <c r="C6" s="182"/>
      <c r="D6" s="185">
        <v>35</v>
      </c>
      <c r="E6" s="604"/>
      <c r="F6" s="154" t="s">
        <v>1253</v>
      </c>
      <c r="G6" s="604"/>
      <c r="H6" s="660"/>
      <c r="I6" s="660"/>
      <c r="J6" s="660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22"/>
      <c r="AH6" s="122"/>
      <c r="AI6" s="122"/>
    </row>
    <row r="7" spans="1:35" ht="11.25" hidden="1" customHeight="1" x14ac:dyDescent="0.15">
      <c r="A7" s="182"/>
      <c r="B7" s="182"/>
      <c r="C7" s="182"/>
      <c r="D7" s="185">
        <v>35</v>
      </c>
      <c r="E7" s="604"/>
      <c r="F7" s="604"/>
      <c r="G7" s="159" t="s">
        <v>1254</v>
      </c>
      <c r="H7" s="661"/>
      <c r="I7" s="661"/>
      <c r="J7" s="661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22"/>
      <c r="AH7" s="122"/>
      <c r="AI7" s="122"/>
    </row>
    <row r="8" spans="1:35" ht="11.25" hidden="1" customHeight="1" x14ac:dyDescent="0.15">
      <c r="A8" s="182"/>
      <c r="B8" s="182"/>
      <c r="C8" s="182"/>
      <c r="D8" s="185">
        <v>35</v>
      </c>
      <c r="E8" s="733" t="s">
        <v>816</v>
      </c>
      <c r="F8" s="733"/>
      <c r="G8" s="733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56" t="s">
        <v>617</v>
      </c>
      <c r="AF8" s="156" t="s">
        <v>817</v>
      </c>
      <c r="AG8" s="156" t="s">
        <v>617</v>
      </c>
      <c r="AH8" s="156" t="s">
        <v>817</v>
      </c>
      <c r="AI8" s="122"/>
    </row>
    <row r="9" spans="1:35" ht="11.25" hidden="1" customHeight="1" x14ac:dyDescent="0.15">
      <c r="A9" s="182"/>
      <c r="B9" s="182"/>
      <c r="C9" s="182"/>
      <c r="D9" s="18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22"/>
      <c r="AH9" s="122"/>
      <c r="AI9" s="122"/>
    </row>
    <row r="10" spans="1:35" ht="11.25" hidden="1" customHeight="1" x14ac:dyDescent="0.15">
      <c r="A10" s="182"/>
      <c r="B10" s="182"/>
      <c r="C10" s="182"/>
      <c r="D10" s="18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22"/>
      <c r="AH10" s="122"/>
      <c r="AI10" s="122"/>
    </row>
    <row r="11" spans="1:35" ht="11.25" hidden="1" customHeight="1" x14ac:dyDescent="0.15">
      <c r="A11" s="182"/>
      <c r="B11" s="182"/>
      <c r="C11" s="182"/>
      <c r="D11" s="18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22"/>
      <c r="AH11" s="122"/>
      <c r="AI11" s="122"/>
    </row>
    <row r="12" spans="1:35" ht="11.25" hidden="1" customHeight="1" x14ac:dyDescent="0.15">
      <c r="A12" s="182"/>
      <c r="B12" s="182"/>
      <c r="C12" s="182"/>
      <c r="D12" s="18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22"/>
      <c r="AH12" s="122"/>
      <c r="AI12" s="122"/>
    </row>
    <row r="13" spans="1:35" ht="11.25" hidden="1" customHeight="1" x14ac:dyDescent="0.15">
      <c r="A13" s="182"/>
      <c r="B13" s="182"/>
      <c r="C13" s="182"/>
      <c r="D13" s="18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22"/>
      <c r="AH13" s="122"/>
      <c r="AI13" s="122"/>
    </row>
    <row r="14" spans="1:35" ht="11.25" hidden="1" customHeight="1" x14ac:dyDescent="0.15">
      <c r="A14" s="182"/>
      <c r="B14" s="182"/>
      <c r="C14" s="182"/>
      <c r="D14" s="18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22"/>
      <c r="AH14" s="122"/>
      <c r="AI14" s="122"/>
    </row>
    <row r="15" spans="1:35" ht="11.25" hidden="1" customHeight="1" x14ac:dyDescent="0.15">
      <c r="A15" s="182"/>
      <c r="B15" s="182"/>
      <c r="C15" s="182"/>
      <c r="D15" s="18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22"/>
      <c r="AH15" s="122"/>
      <c r="AI15" s="122"/>
    </row>
    <row r="16" spans="1:35" ht="11.25" hidden="1" customHeight="1" x14ac:dyDescent="0.15">
      <c r="A16" s="182"/>
      <c r="B16" s="182"/>
      <c r="C16" s="182"/>
      <c r="D16" s="18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22"/>
      <c r="AH16" s="122"/>
      <c r="AI16" s="122"/>
    </row>
    <row r="17" spans="1:35" ht="11.25" hidden="1" customHeight="1" x14ac:dyDescent="0.15">
      <c r="A17" s="182"/>
      <c r="B17" s="182"/>
      <c r="C17" s="182"/>
      <c r="D17" s="18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22"/>
      <c r="AH17" s="122"/>
      <c r="AI17" s="122"/>
    </row>
    <row r="18" spans="1:35" ht="11.25" hidden="1" customHeight="1" x14ac:dyDescent="0.15">
      <c r="A18" s="182"/>
      <c r="B18" s="182"/>
      <c r="C18" s="182"/>
      <c r="D18" s="18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22"/>
      <c r="AH18" s="122"/>
      <c r="AI18" s="122"/>
    </row>
    <row r="19" spans="1:35" ht="11.25" hidden="1" customHeight="1" x14ac:dyDescent="0.15">
      <c r="A19" s="182"/>
      <c r="B19" s="182"/>
      <c r="C19" s="182"/>
      <c r="D19" s="18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22"/>
      <c r="AH19" s="122"/>
      <c r="AI19" s="122"/>
    </row>
    <row r="20" spans="1:35" ht="15" customHeight="1" x14ac:dyDescent="0.15">
      <c r="A20" s="182"/>
      <c r="B20" s="182"/>
      <c r="C20" s="182"/>
      <c r="D20" s="18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35" ht="36.75" customHeight="1" x14ac:dyDescent="0.15">
      <c r="A21" s="182"/>
      <c r="B21" s="182"/>
      <c r="C21" s="182"/>
      <c r="D21" s="185">
        <v>49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688" t="str">
        <f>ORG</f>
        <v>ООО "Энергонефть Томск"</v>
      </c>
      <c r="AC21" s="739"/>
      <c r="AD21" s="739"/>
    </row>
    <row r="22" spans="1:35" ht="27" customHeight="1" x14ac:dyDescent="0.15">
      <c r="A22" s="182"/>
      <c r="B22" s="182"/>
      <c r="C22" s="182"/>
      <c r="D22" s="185">
        <v>36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693" t="str">
        <f>"Форма 3.1 Отчетные данные для расчета значения показателя качества рассмотрения заявок на технологическое присоединение к сети"</f>
        <v>Форма 3.1 Отчетные данные для расчета значения показателя качества рассмотрения заявок на технологическое присоединение к сети</v>
      </c>
      <c r="AC22" s="735"/>
      <c r="AD22" s="735"/>
      <c r="AE22" s="735"/>
      <c r="AF22" s="735"/>
      <c r="AG22" s="692"/>
    </row>
    <row r="23" spans="1:35" ht="6" customHeight="1" x14ac:dyDescent="0.15">
      <c r="A23" s="182"/>
      <c r="B23" s="182"/>
      <c r="C23" s="182"/>
      <c r="D23" s="185">
        <v>8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35" ht="21.75" customHeight="1" x14ac:dyDescent="0.15">
      <c r="A24" s="182"/>
      <c r="B24" s="182"/>
      <c r="C24" s="182"/>
      <c r="D24" s="185">
        <v>29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B24" s="31" t="s">
        <v>687</v>
      </c>
      <c r="AC24" s="680" t="s">
        <v>688</v>
      </c>
      <c r="AD24" s="680"/>
      <c r="AE24" s="31" t="str">
        <f>IF(PRD="","Не определено",PRD)&amp;" год"</f>
        <v>2025 год</v>
      </c>
      <c r="AF24" s="61" t="str">
        <f>IF(PRD="","Не определено",PRD)&amp;" год"</f>
        <v>2025 год</v>
      </c>
      <c r="AG24" s="31" t="str">
        <f>IF(PRD="","Не определено",PRD)&amp;" год"</f>
        <v>2025 год</v>
      </c>
      <c r="AH24" s="61" t="str">
        <f>IF(PRD="","Не определено",PRD)&amp;" год"</f>
        <v>2025 год</v>
      </c>
    </row>
    <row r="25" spans="1:35" ht="63" customHeight="1" x14ac:dyDescent="0.15">
      <c r="A25" s="182"/>
      <c r="B25" s="182"/>
      <c r="C25" s="182"/>
      <c r="D25" s="185">
        <v>84</v>
      </c>
      <c r="E25" s="182"/>
      <c r="F25" s="182"/>
      <c r="G25" s="182"/>
      <c r="H25" s="154" t="s">
        <v>1255</v>
      </c>
      <c r="I25" s="154" t="s">
        <v>1256</v>
      </c>
      <c r="J25" s="659" t="s">
        <v>614</v>
      </c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B25" s="31">
        <v>1</v>
      </c>
      <c r="AC25" s="738" t="s">
        <v>1257</v>
      </c>
      <c r="AD25" s="738"/>
      <c r="AE25" s="64">
        <v>1520</v>
      </c>
      <c r="AF25" s="605"/>
      <c r="AG25" s="42"/>
      <c r="AH25" s="605"/>
    </row>
    <row r="26" spans="1:35" ht="67.5" customHeight="1" x14ac:dyDescent="0.15">
      <c r="A26" s="182"/>
      <c r="B26" s="182"/>
      <c r="C26" s="182"/>
      <c r="D26" s="185">
        <v>84</v>
      </c>
      <c r="E26" s="182"/>
      <c r="F26" s="182"/>
      <c r="G26" s="182"/>
      <c r="H26" s="154" t="s">
        <v>1258</v>
      </c>
      <c r="I26" s="154" t="s">
        <v>1259</v>
      </c>
      <c r="J26" s="660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B26" s="32">
        <v>2</v>
      </c>
      <c r="AC26" s="738" t="s">
        <v>1260</v>
      </c>
      <c r="AD26" s="738"/>
      <c r="AE26" s="64">
        <v>0</v>
      </c>
      <c r="AF26" s="605">
        <f>AE26</f>
        <v>0</v>
      </c>
      <c r="AG26" s="42">
        <f>COUNTA('Заявки Техприс'!AM39:AM40)+COUNTA('Заявки Техприс'!AM42:AM43)+COUNTA('Заявки Техприс'!AM45:AM46)+COUNTA('Заявки Техприс'!AM48:AM49)</f>
        <v>0</v>
      </c>
      <c r="AH26" s="605">
        <f>AG26</f>
        <v>0</v>
      </c>
    </row>
    <row r="27" spans="1:35" ht="15.75" customHeight="1" x14ac:dyDescent="0.15">
      <c r="A27" s="182"/>
      <c r="B27" s="182"/>
      <c r="C27" s="182"/>
      <c r="D27" s="185">
        <v>21</v>
      </c>
      <c r="E27" s="182"/>
      <c r="F27" s="182"/>
      <c r="G27" s="182"/>
      <c r="H27" s="154" t="s">
        <v>607</v>
      </c>
      <c r="I27" s="154" t="s">
        <v>1261</v>
      </c>
      <c r="J27" s="660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B27" s="606" t="s">
        <v>143</v>
      </c>
      <c r="AC27" s="736" t="s">
        <v>1262</v>
      </c>
      <c r="AD27" s="737"/>
      <c r="AE27" s="37">
        <f>MAX(1,AE25-AE26)</f>
        <v>1520</v>
      </c>
      <c r="AF27" s="37">
        <f>MAX(1,AF25-AF26)</f>
        <v>1</v>
      </c>
      <c r="AG27" s="37">
        <f>MAX(1,AG25-AG26)</f>
        <v>1</v>
      </c>
      <c r="AH27" s="37">
        <f>MAX(1,AH25-AH26)</f>
        <v>1</v>
      </c>
    </row>
    <row r="28" spans="1:35" ht="15.75" customHeight="1" x14ac:dyDescent="0.15">
      <c r="A28" s="182"/>
      <c r="B28" s="182"/>
      <c r="C28" s="182"/>
      <c r="D28" s="185">
        <v>21</v>
      </c>
      <c r="E28" s="182"/>
      <c r="F28" s="182"/>
      <c r="G28" s="182"/>
      <c r="H28" s="154" t="s">
        <v>821</v>
      </c>
      <c r="I28" s="154" t="s">
        <v>1263</v>
      </c>
      <c r="J28" s="66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B28" s="75" t="s">
        <v>151</v>
      </c>
      <c r="AC28" s="736" t="s">
        <v>1263</v>
      </c>
      <c r="AD28" s="737"/>
      <c r="AE28" s="37">
        <f>IF(AND(PRD&gt;2014,AE25=0),1,AE25/AE27)</f>
        <v>1</v>
      </c>
      <c r="AF28" s="37">
        <f>IF(AND(PRD&gt;2014,AF25=0),1,AF25/AF27)</f>
        <v>1</v>
      </c>
      <c r="AG28" s="37">
        <f>IF(AND(PRD&gt;2014,AG25=0),1,AG25/AG27)</f>
        <v>1</v>
      </c>
      <c r="AH28" s="37">
        <f>IF(AND(PRD&gt;2014,AH25=0),1,AH25/AH27)</f>
        <v>1</v>
      </c>
    </row>
    <row r="29" spans="1:35" ht="21.75" customHeight="1" x14ac:dyDescent="0.15">
      <c r="A29" s="182"/>
      <c r="B29" s="182"/>
      <c r="C29" s="182"/>
      <c r="D29" s="185">
        <v>29</v>
      </c>
      <c r="E29" s="182"/>
      <c r="F29" s="182"/>
      <c r="G29" s="182"/>
      <c r="H29" s="604"/>
      <c r="I29" s="604"/>
      <c r="J29" s="604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</row>
    <row r="30" spans="1:35" ht="25.5" customHeight="1" x14ac:dyDescent="0.15">
      <c r="A30" s="182"/>
      <c r="B30" s="182"/>
      <c r="C30" s="182"/>
      <c r="D30" s="185">
        <v>34</v>
      </c>
      <c r="E30" s="182"/>
      <c r="F30" s="182"/>
      <c r="G30" s="182"/>
      <c r="H30" s="604"/>
      <c r="I30" s="604"/>
      <c r="J30" s="604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B30" s="693" t="str">
        <f>"Форма 3.2 Отчетные данные для расчета значения показателя качества исполнения договоров об осуществлении технологического присоединения заявителей к сети"</f>
        <v>Форма 3.2 Отчетные данные для расчета значения показателя качества исполнения договоров об осуществлении технологического присоединения заявителей к сети</v>
      </c>
      <c r="AC30" s="735"/>
      <c r="AD30" s="735"/>
      <c r="AE30" s="735"/>
      <c r="AF30" s="735"/>
      <c r="AG30" s="692"/>
    </row>
    <row r="31" spans="1:35" ht="2.25" customHeight="1" x14ac:dyDescent="0.15">
      <c r="A31" s="182"/>
      <c r="B31" s="182"/>
      <c r="C31" s="182"/>
      <c r="D31" s="185">
        <v>3</v>
      </c>
      <c r="E31" s="182"/>
      <c r="F31" s="182"/>
      <c r="G31" s="182"/>
      <c r="H31" s="604"/>
      <c r="I31" s="604"/>
      <c r="J31" s="604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</row>
    <row r="32" spans="1:35" ht="12" customHeight="1" x14ac:dyDescent="0.15">
      <c r="A32" s="182"/>
      <c r="B32" s="182"/>
      <c r="C32" s="182"/>
      <c r="D32" s="185">
        <v>16</v>
      </c>
      <c r="E32" s="182"/>
      <c r="F32" s="182"/>
      <c r="G32" s="182"/>
      <c r="H32" s="604"/>
      <c r="I32" s="604"/>
      <c r="J32" s="604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B32" s="680" t="s">
        <v>687</v>
      </c>
      <c r="AC32" s="680" t="s">
        <v>688</v>
      </c>
      <c r="AD32" s="680"/>
      <c r="AE32" s="680" t="str">
        <f>IF(PRD="","Не определено",PRD)&amp;" год"</f>
        <v>2025 год</v>
      </c>
      <c r="AF32" s="734" t="str">
        <f>IF(PRD="","Не определено",PRD)&amp;" год"</f>
        <v>2025 год</v>
      </c>
      <c r="AG32" s="680" t="str">
        <f>IF(PRD="","Не определено",PRD)&amp;" год"</f>
        <v>2025 год</v>
      </c>
      <c r="AH32" s="734" t="str">
        <f>IF(PRD="","Не определено",PRD)&amp;" год"</f>
        <v>2025 год</v>
      </c>
    </row>
    <row r="33" spans="1:35" ht="12" customHeight="1" x14ac:dyDescent="0.15">
      <c r="A33" s="182"/>
      <c r="B33" s="182"/>
      <c r="C33" s="182"/>
      <c r="D33" s="185">
        <v>16</v>
      </c>
      <c r="E33" s="182"/>
      <c r="F33" s="182"/>
      <c r="G33" s="182"/>
      <c r="H33" s="604"/>
      <c r="I33" s="604"/>
      <c r="J33" s="604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B33" s="680"/>
      <c r="AC33" s="680"/>
      <c r="AD33" s="680"/>
      <c r="AE33" s="680"/>
      <c r="AF33" s="734"/>
      <c r="AG33" s="680"/>
      <c r="AH33" s="734"/>
    </row>
    <row r="34" spans="1:35" ht="55.5" customHeight="1" x14ac:dyDescent="0.15">
      <c r="A34" s="182"/>
      <c r="B34" s="182"/>
      <c r="C34" s="182"/>
      <c r="D34" s="185">
        <v>65</v>
      </c>
      <c r="E34" s="182"/>
      <c r="F34" s="182"/>
      <c r="G34" s="182"/>
      <c r="H34" s="154" t="s">
        <v>1264</v>
      </c>
      <c r="I34" s="154" t="s">
        <v>1265</v>
      </c>
      <c r="J34" s="659" t="s">
        <v>614</v>
      </c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B34" s="31">
        <v>1</v>
      </c>
      <c r="AC34" s="738" t="s">
        <v>1266</v>
      </c>
      <c r="AD34" s="738"/>
      <c r="AE34" s="64">
        <v>1493</v>
      </c>
      <c r="AF34" s="605"/>
      <c r="AG34" s="42"/>
      <c r="AH34" s="605"/>
    </row>
    <row r="35" spans="1:35" ht="65.25" customHeight="1" x14ac:dyDescent="0.15">
      <c r="A35" s="182"/>
      <c r="B35" s="182"/>
      <c r="C35" s="182"/>
      <c r="D35" s="185">
        <v>87</v>
      </c>
      <c r="E35" s="182"/>
      <c r="F35" s="182"/>
      <c r="G35" s="182"/>
      <c r="H35" s="154" t="s">
        <v>1267</v>
      </c>
      <c r="I35" s="154" t="s">
        <v>1268</v>
      </c>
      <c r="J35" s="660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B35" s="32">
        <v>2</v>
      </c>
      <c r="AC35" s="738" t="s">
        <v>1269</v>
      </c>
      <c r="AD35" s="738"/>
      <c r="AE35" s="64">
        <v>0</v>
      </c>
      <c r="AF35" s="605">
        <f>AE35</f>
        <v>0</v>
      </c>
      <c r="AG35" s="42">
        <f>COUNTIF('Договоры Техприс'!AU40:AU41,"Да")+COUNTIF('Договоры Техприс'!AU43:AU44,"Да")+COUNTIF('Договоры Техприс'!AU46:AU47,"Да")+COUNTIF('Договоры Техприс'!AU49:AU50,"Да")</f>
        <v>0</v>
      </c>
      <c r="AH35" s="605">
        <f>AG35</f>
        <v>0</v>
      </c>
    </row>
    <row r="36" spans="1:35" ht="15.75" customHeight="1" x14ac:dyDescent="0.15">
      <c r="A36" s="182"/>
      <c r="B36" s="182"/>
      <c r="C36" s="182"/>
      <c r="D36" s="185">
        <v>21</v>
      </c>
      <c r="E36" s="182"/>
      <c r="F36" s="182"/>
      <c r="G36" s="182"/>
      <c r="H36" s="154" t="s">
        <v>824</v>
      </c>
      <c r="I36" s="154" t="s">
        <v>1270</v>
      </c>
      <c r="J36" s="660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B36" s="75" t="s">
        <v>143</v>
      </c>
      <c r="AC36" s="736" t="s">
        <v>1271</v>
      </c>
      <c r="AD36" s="737"/>
      <c r="AE36" s="37">
        <f>MAX(1,AE34-AE35)</f>
        <v>1493</v>
      </c>
      <c r="AF36" s="37">
        <f>MAX(1,AF34-AF35)</f>
        <v>1</v>
      </c>
      <c r="AG36" s="37">
        <f>MAX(1,AG34-AG35)</f>
        <v>1</v>
      </c>
      <c r="AH36" s="37">
        <f>MAX(1,AH34-AH35)</f>
        <v>1</v>
      </c>
    </row>
    <row r="37" spans="1:35" ht="15.75" customHeight="1" x14ac:dyDescent="0.15">
      <c r="A37" s="182"/>
      <c r="B37" s="182"/>
      <c r="C37" s="182"/>
      <c r="D37" s="185">
        <v>21</v>
      </c>
      <c r="E37" s="182"/>
      <c r="F37" s="182"/>
      <c r="G37" s="182"/>
      <c r="H37" s="154" t="s">
        <v>827</v>
      </c>
      <c r="I37" s="154" t="s">
        <v>1272</v>
      </c>
      <c r="J37" s="661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B37" s="75" t="s">
        <v>151</v>
      </c>
      <c r="AC37" s="736" t="s">
        <v>1272</v>
      </c>
      <c r="AD37" s="737"/>
      <c r="AE37" s="37">
        <f>IF(AND(PRD&gt;2014,AE34=0),1,AE34/AE36)</f>
        <v>1</v>
      </c>
      <c r="AF37" s="37">
        <f>IF(AND(PRD&gt;2014,AF34=0),1,AF34/AF36)</f>
        <v>1</v>
      </c>
      <c r="AG37" s="37">
        <f>IF(AND(PRD&gt;2014,AG34=0),1,AG34/AG36)</f>
        <v>1</v>
      </c>
      <c r="AH37" s="37">
        <f>IF(AND(PRD&gt;2014,AH34=0),1,AH34/AH36)</f>
        <v>1</v>
      </c>
    </row>
    <row r="38" spans="1:35" ht="21.75" customHeight="1" x14ac:dyDescent="0.15">
      <c r="A38" s="182"/>
      <c r="B38" s="182"/>
      <c r="C38" s="182"/>
      <c r="D38" s="185">
        <v>29</v>
      </c>
      <c r="E38" s="182"/>
      <c r="F38" s="182"/>
      <c r="G38" s="182"/>
      <c r="H38" s="604"/>
      <c r="I38" s="604"/>
      <c r="J38" s="604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</row>
    <row r="39" spans="1:35" ht="22.5" customHeight="1" x14ac:dyDescent="0.15">
      <c r="A39" s="182"/>
      <c r="B39" s="182"/>
      <c r="C39" s="182"/>
      <c r="D39" s="185">
        <v>30</v>
      </c>
      <c r="E39" s="182"/>
      <c r="F39" s="182"/>
      <c r="G39" s="182"/>
      <c r="H39" s="604"/>
      <c r="I39" s="604"/>
      <c r="J39" s="604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B39" s="663" t="s">
        <v>1273</v>
      </c>
      <c r="AC39" s="663"/>
      <c r="AD39" s="663"/>
      <c r="AE39" s="663"/>
    </row>
    <row r="40" spans="1:35" ht="2.25" customHeight="1" x14ac:dyDescent="0.15">
      <c r="A40" s="182"/>
      <c r="B40" s="182"/>
      <c r="C40" s="182"/>
      <c r="D40" s="185">
        <v>3</v>
      </c>
      <c r="E40" s="182"/>
      <c r="F40" s="182"/>
      <c r="G40" s="182"/>
      <c r="H40" s="604"/>
      <c r="I40" s="604"/>
      <c r="J40" s="604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</row>
    <row r="41" spans="1:35" ht="31.5" customHeight="1" x14ac:dyDescent="0.15">
      <c r="A41" s="182"/>
      <c r="B41" s="182"/>
      <c r="C41" s="182"/>
      <c r="D41" s="185">
        <v>42</v>
      </c>
      <c r="E41" s="182"/>
      <c r="F41" s="182"/>
      <c r="G41" s="182"/>
      <c r="H41" s="604"/>
      <c r="I41" s="604"/>
      <c r="J41" s="604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B41" s="31" t="s">
        <v>687</v>
      </c>
      <c r="AC41" s="680" t="s">
        <v>688</v>
      </c>
      <c r="AD41" s="680"/>
      <c r="AE41" s="31" t="str">
        <f>IF(PRD="","Не определено",PRD)&amp;" год"</f>
        <v>2025 год</v>
      </c>
      <c r="AF41" s="61" t="str">
        <f>IF(PRD="","Не определено",PRD)&amp;" год"</f>
        <v>2025 год</v>
      </c>
      <c r="AG41" s="31" t="str">
        <f>IF(PRD="","Не определено",PRD)&amp;" год"</f>
        <v>2025 год</v>
      </c>
      <c r="AH41" s="61" t="str">
        <f>IF(PRD="","Не определено",PRD)&amp;" год"</f>
        <v>2025 год</v>
      </c>
    </row>
    <row r="42" spans="1:35" ht="15.75" customHeight="1" x14ac:dyDescent="0.15">
      <c r="A42" s="182"/>
      <c r="B42" s="182"/>
      <c r="C42" s="182"/>
      <c r="D42" s="185">
        <v>21</v>
      </c>
      <c r="E42" s="182"/>
      <c r="F42" s="182"/>
      <c r="G42" s="182"/>
      <c r="H42" s="154" t="s">
        <v>830</v>
      </c>
      <c r="I42" s="154" t="s">
        <v>1274</v>
      </c>
      <c r="J42" s="154" t="s">
        <v>614</v>
      </c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B42" s="75" t="s">
        <v>112</v>
      </c>
      <c r="AC42" s="736" t="s">
        <v>1274</v>
      </c>
      <c r="AD42" s="737"/>
      <c r="AE42" s="37">
        <f>0.5*AE28+0.5*AE37</f>
        <v>1</v>
      </c>
      <c r="AF42" s="37">
        <f>0.5*AF28+0.5*AF37</f>
        <v>1</v>
      </c>
      <c r="AG42" s="37">
        <f>0.5*AG28+0.5*AG37</f>
        <v>1</v>
      </c>
      <c r="AH42" s="37">
        <f>0.5*AH28+0.5*AH37</f>
        <v>1</v>
      </c>
    </row>
    <row r="43" spans="1:35" ht="12" customHeight="1" x14ac:dyDescent="0.15">
      <c r="A43" s="182"/>
      <c r="B43" s="182"/>
      <c r="C43" s="182"/>
      <c r="D43" s="185">
        <v>16</v>
      </c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</row>
    <row r="44" spans="1:35" ht="47.25" customHeight="1" x14ac:dyDescent="0.15">
      <c r="A44" s="182"/>
      <c r="B44" s="182"/>
      <c r="C44" s="182"/>
      <c r="D44" s="185">
        <v>63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C44" s="18" t="str">
        <f>IF(LEN(ruk_dol)=0,"",ruk_dol)</f>
        <v>Генеральный директор</v>
      </c>
      <c r="AD44" s="74" t="str">
        <f>IF(LEN(ruk_FIO)=0,"",ruk_FIO)</f>
        <v>Шохин Александр Ефимович</v>
      </c>
      <c r="AE44" s="607"/>
      <c r="AF44" s="607"/>
      <c r="AG44" s="76"/>
      <c r="AH44" s="59"/>
    </row>
    <row r="45" spans="1:35" ht="12" customHeight="1" x14ac:dyDescent="0.15">
      <c r="A45" s="182"/>
      <c r="B45" s="182"/>
      <c r="C45" s="182"/>
      <c r="D45" s="185">
        <v>16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C45" s="49" t="s">
        <v>652</v>
      </c>
      <c r="AD45" s="52" t="s">
        <v>757</v>
      </c>
      <c r="AE45" s="25"/>
      <c r="AF45" s="25"/>
      <c r="AG45" s="25" t="s">
        <v>758</v>
      </c>
      <c r="AH45" s="59"/>
    </row>
    <row r="46" spans="1:35" ht="12" customHeight="1" x14ac:dyDescent="0.15">
      <c r="A46" s="182"/>
      <c r="B46" s="182"/>
      <c r="C46" s="182"/>
      <c r="D46" s="185">
        <v>16</v>
      </c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</row>
    <row r="47" spans="1:35" ht="11.25" hidden="1" customHeight="1" x14ac:dyDescent="0.15">
      <c r="A47" s="182"/>
      <c r="B47" s="182"/>
      <c r="C47" s="182"/>
      <c r="D47" s="183">
        <v>0</v>
      </c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I47" t="s">
        <v>71</v>
      </c>
    </row>
  </sheetData>
  <sheetProtection formatColumns="0" formatRows="0" insertRows="0" deleteColumns="0" deleteRows="0" sort="0" autoFilter="0"/>
  <mergeCells count="27">
    <mergeCell ref="AB21:AD21"/>
    <mergeCell ref="AC24:AD24"/>
    <mergeCell ref="AC25:AD25"/>
    <mergeCell ref="AB32:AB33"/>
    <mergeCell ref="AC26:AD26"/>
    <mergeCell ref="AC42:AD42"/>
    <mergeCell ref="AC27:AD27"/>
    <mergeCell ref="AC28:AD28"/>
    <mergeCell ref="AC41:AD41"/>
    <mergeCell ref="AF32:AF33"/>
    <mergeCell ref="AB39:AE39"/>
    <mergeCell ref="AC36:AD36"/>
    <mergeCell ref="AC37:AD37"/>
    <mergeCell ref="AC34:AD34"/>
    <mergeCell ref="AC35:AD35"/>
    <mergeCell ref="AE32:AE33"/>
    <mergeCell ref="AC32:AD33"/>
    <mergeCell ref="J34:J37"/>
    <mergeCell ref="AG32:AG33"/>
    <mergeCell ref="AH32:AH33"/>
    <mergeCell ref="AB22:AG22"/>
    <mergeCell ref="AB30:AG30"/>
    <mergeCell ref="E8:G8"/>
    <mergeCell ref="H5:H7"/>
    <mergeCell ref="I5:I7"/>
    <mergeCell ref="J5:J7"/>
    <mergeCell ref="J25:J28"/>
  </mergeCells>
  <dataValidations count="1">
    <dataValidation type="whole" allowBlank="1" showErrorMessage="1" errorTitle="Ошибка" error="Допускается ввод только неотрицательных целых чисел!" sqref="AE25:AH26 AE34:AH35">
      <formula1>0</formula1>
      <formula2>9.99999999999999E+23</formula2>
    </dataValidation>
  </dataValidations>
  <pageMargins left="0.75" right="0.75" top="1" bottom="1" header="0.5" footer="0.5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H68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4" style="166" customWidth="1"/>
    <col min="29" max="29" width="67.5703125" style="166" customWidth="1"/>
    <col min="30" max="30" width="19" style="166" customWidth="1"/>
    <col min="31" max="31" width="12.5703125" style="166" customWidth="1"/>
    <col min="32" max="32" width="12.5703125" style="166" hidden="1" customWidth="1"/>
    <col min="33" max="33" width="13.140625" style="166" hidden="1" customWidth="1"/>
    <col min="34" max="34" width="9.140625" hidden="1"/>
  </cols>
  <sheetData>
    <row r="1" spans="1:34" ht="22.5" hidden="1" customHeight="1" x14ac:dyDescent="0.15">
      <c r="A1" s="182"/>
      <c r="B1" s="182"/>
      <c r="C1" s="182"/>
      <c r="D1" s="183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22"/>
    </row>
    <row r="2" spans="1:34" ht="12.75" hidden="1" customHeight="1" x14ac:dyDescent="0.15">
      <c r="A2" s="182"/>
      <c r="B2" s="182"/>
      <c r="C2" s="182"/>
      <c r="D2" s="183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59" t="b">
        <f>REPORT_OWNER="Версия регулятора"</f>
        <v>0</v>
      </c>
      <c r="AG2" s="59" t="b">
        <f>REPORT_OWNER="Версия регулятора"</f>
        <v>0</v>
      </c>
      <c r="AH2" s="122"/>
    </row>
    <row r="3" spans="1:34" ht="11.25" hidden="1" customHeight="1" x14ac:dyDescent="0.15">
      <c r="A3" s="182"/>
      <c r="B3" s="182"/>
      <c r="C3" s="182"/>
      <c r="D3" s="183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22"/>
    </row>
    <row r="4" spans="1:34" ht="12.75" hidden="1" customHeight="1" x14ac:dyDescent="0.15">
      <c r="A4" s="183"/>
      <c r="B4" s="183"/>
      <c r="C4" s="183"/>
      <c r="D4" s="183"/>
      <c r="E4" s="185">
        <v>61</v>
      </c>
      <c r="F4" s="185">
        <v>61</v>
      </c>
      <c r="G4" s="185">
        <v>61</v>
      </c>
      <c r="H4" s="185">
        <v>61</v>
      </c>
      <c r="I4" s="185">
        <v>61</v>
      </c>
      <c r="J4" s="185">
        <v>61</v>
      </c>
      <c r="K4" s="185">
        <v>61</v>
      </c>
      <c r="L4" s="185">
        <v>61</v>
      </c>
      <c r="M4" s="185">
        <v>61</v>
      </c>
      <c r="N4" s="185">
        <v>61</v>
      </c>
      <c r="O4" s="185">
        <v>61</v>
      </c>
      <c r="P4" s="185">
        <v>61</v>
      </c>
      <c r="Q4" s="185">
        <v>61</v>
      </c>
      <c r="R4" s="185">
        <v>61</v>
      </c>
      <c r="S4" s="185">
        <v>61</v>
      </c>
      <c r="T4" s="185">
        <v>61</v>
      </c>
      <c r="U4" s="185">
        <v>61</v>
      </c>
      <c r="V4" s="185">
        <v>61</v>
      </c>
      <c r="W4" s="185">
        <v>61</v>
      </c>
      <c r="X4" s="185">
        <v>61</v>
      </c>
      <c r="Y4" s="185">
        <v>61</v>
      </c>
      <c r="Z4" s="185">
        <v>61</v>
      </c>
      <c r="AA4" s="185">
        <v>26</v>
      </c>
      <c r="AB4" s="185">
        <v>28</v>
      </c>
      <c r="AC4" s="185">
        <v>473</v>
      </c>
      <c r="AD4" s="185">
        <v>133</v>
      </c>
      <c r="AE4" s="185">
        <v>88</v>
      </c>
      <c r="AF4" s="185">
        <v>88</v>
      </c>
      <c r="AG4" s="185">
        <v>92</v>
      </c>
      <c r="AH4" s="15">
        <v>0</v>
      </c>
    </row>
    <row r="5" spans="1:34" ht="26.25" hidden="1" customHeight="1" x14ac:dyDescent="0.15">
      <c r="A5" s="182"/>
      <c r="B5" s="182"/>
      <c r="C5" s="182"/>
      <c r="D5" s="185">
        <v>35</v>
      </c>
      <c r="E5" s="59" t="s">
        <v>600</v>
      </c>
      <c r="F5" s="134" t="s">
        <v>601</v>
      </c>
      <c r="G5" s="134" t="s">
        <v>602</v>
      </c>
      <c r="H5" s="134" t="s">
        <v>603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22"/>
    </row>
    <row r="6" spans="1:34" ht="26.25" hidden="1" customHeight="1" x14ac:dyDescent="0.15">
      <c r="A6" s="182"/>
      <c r="B6" s="182"/>
      <c r="C6" s="182"/>
      <c r="D6" s="185">
        <v>35</v>
      </c>
      <c r="E6" s="134" t="s">
        <v>816</v>
      </c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608" t="s">
        <v>617</v>
      </c>
      <c r="AF6" s="50" t="s">
        <v>817</v>
      </c>
      <c r="AG6" s="182"/>
      <c r="AH6" s="122"/>
    </row>
    <row r="7" spans="1:34" ht="26.25" hidden="1" customHeight="1" x14ac:dyDescent="0.15">
      <c r="A7" s="182"/>
      <c r="B7" s="182"/>
      <c r="C7" s="182"/>
      <c r="D7" s="185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22"/>
    </row>
    <row r="8" spans="1:34" ht="26.25" hidden="1" customHeight="1" x14ac:dyDescent="0.15">
      <c r="A8" s="182"/>
      <c r="B8" s="182"/>
      <c r="C8" s="182"/>
      <c r="D8" s="185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22"/>
    </row>
    <row r="9" spans="1:34" ht="26.25" hidden="1" customHeight="1" x14ac:dyDescent="0.15">
      <c r="A9" s="182"/>
      <c r="B9" s="182"/>
      <c r="C9" s="182"/>
      <c r="D9" s="18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22"/>
    </row>
    <row r="10" spans="1:34" ht="26.25" hidden="1" customHeight="1" x14ac:dyDescent="0.15">
      <c r="A10" s="182"/>
      <c r="B10" s="182"/>
      <c r="C10" s="182"/>
      <c r="D10" s="18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22"/>
    </row>
    <row r="11" spans="1:34" ht="26.25" hidden="1" customHeight="1" x14ac:dyDescent="0.15">
      <c r="A11" s="182"/>
      <c r="B11" s="182"/>
      <c r="C11" s="182"/>
      <c r="D11" s="18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22"/>
    </row>
    <row r="12" spans="1:34" ht="26.25" hidden="1" customHeight="1" x14ac:dyDescent="0.15">
      <c r="A12" s="182"/>
      <c r="B12" s="182"/>
      <c r="C12" s="182"/>
      <c r="D12" s="18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22"/>
    </row>
    <row r="13" spans="1:34" ht="26.25" hidden="1" customHeight="1" x14ac:dyDescent="0.15">
      <c r="A13" s="182"/>
      <c r="B13" s="182"/>
      <c r="C13" s="182"/>
      <c r="D13" s="18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22"/>
    </row>
    <row r="14" spans="1:34" ht="26.25" hidden="1" customHeight="1" x14ac:dyDescent="0.15">
      <c r="A14" s="182"/>
      <c r="B14" s="182"/>
      <c r="C14" s="182"/>
      <c r="D14" s="18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22"/>
    </row>
    <row r="15" spans="1:34" ht="26.25" hidden="1" customHeight="1" x14ac:dyDescent="0.15">
      <c r="A15" s="182"/>
      <c r="B15" s="182"/>
      <c r="C15" s="182"/>
      <c r="D15" s="18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22"/>
    </row>
    <row r="16" spans="1:34" ht="26.25" hidden="1" customHeight="1" x14ac:dyDescent="0.15">
      <c r="A16" s="182"/>
      <c r="B16" s="182"/>
      <c r="C16" s="182"/>
      <c r="D16" s="18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22"/>
    </row>
    <row r="17" spans="1:34" ht="26.25" hidden="1" customHeight="1" x14ac:dyDescent="0.15">
      <c r="A17" s="182"/>
      <c r="B17" s="182"/>
      <c r="C17" s="182"/>
      <c r="D17" s="18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22"/>
    </row>
    <row r="18" spans="1:34" ht="26.25" hidden="1" customHeight="1" x14ac:dyDescent="0.15">
      <c r="A18" s="182"/>
      <c r="B18" s="182"/>
      <c r="C18" s="182"/>
      <c r="D18" s="18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22"/>
    </row>
    <row r="19" spans="1:34" ht="26.25" hidden="1" customHeight="1" x14ac:dyDescent="0.15">
      <c r="A19" s="182"/>
      <c r="B19" s="182"/>
      <c r="C19" s="182"/>
      <c r="D19" s="18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22"/>
    </row>
    <row r="20" spans="1:34" ht="15" customHeight="1" x14ac:dyDescent="0.15">
      <c r="A20" s="182"/>
      <c r="B20" s="182"/>
      <c r="C20" s="182"/>
      <c r="D20" s="18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34" ht="36.75" customHeight="1" x14ac:dyDescent="0.15">
      <c r="A21" s="182"/>
      <c r="B21" s="182"/>
      <c r="C21" s="182"/>
      <c r="D21" s="185">
        <v>49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678" t="str">
        <f>ORG</f>
        <v>ООО "Энергонефть Томск"</v>
      </c>
      <c r="AC21" s="679"/>
      <c r="AD21" s="679"/>
    </row>
    <row r="22" spans="1:34" ht="31.5" customHeight="1" x14ac:dyDescent="0.15">
      <c r="A22" s="182"/>
      <c r="B22" s="182"/>
      <c r="C22" s="182"/>
      <c r="D22" s="185">
        <v>42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663" t="s">
        <v>1275</v>
      </c>
      <c r="AC22" s="663"/>
      <c r="AD22" s="663"/>
      <c r="AE22" s="663"/>
    </row>
    <row r="23" spans="1:34" ht="6" customHeight="1" x14ac:dyDescent="0.15">
      <c r="A23" s="182"/>
      <c r="B23" s="182"/>
      <c r="C23" s="182"/>
      <c r="D23" s="185">
        <v>8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34" ht="27" customHeight="1" x14ac:dyDescent="0.15">
      <c r="A24" s="182"/>
      <c r="B24" s="182"/>
      <c r="C24" s="182"/>
      <c r="D24" s="185">
        <v>36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B24" s="31" t="s">
        <v>687</v>
      </c>
      <c r="AC24" s="31" t="s">
        <v>1276</v>
      </c>
      <c r="AD24" s="31" t="s">
        <v>1277</v>
      </c>
      <c r="AE24" s="31" t="str">
        <f>IF(PRD="","Не определено",PRD)&amp;" год"</f>
        <v>2025 год</v>
      </c>
      <c r="AF24" s="609" t="str">
        <f>IF(PRD="","Не определено",PRD)&amp;" год"</f>
        <v>2025 год</v>
      </c>
    </row>
    <row r="25" spans="1:34" ht="27" customHeight="1" x14ac:dyDescent="0.15">
      <c r="A25" s="182"/>
      <c r="B25" s="182"/>
      <c r="C25" s="182"/>
      <c r="D25" s="185">
        <v>36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B25" s="31">
        <v>1</v>
      </c>
      <c r="AC25" s="40" t="s">
        <v>1278</v>
      </c>
      <c r="AD25" s="31" t="s">
        <v>112</v>
      </c>
      <c r="AE25" s="125"/>
      <c r="AF25" s="125"/>
    </row>
    <row r="26" spans="1:34" ht="15.75" customHeight="1" x14ac:dyDescent="0.15">
      <c r="A26" s="182"/>
      <c r="B26" s="182"/>
      <c r="C26" s="182"/>
      <c r="D26" s="185">
        <v>21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B26" s="31">
        <v>2</v>
      </c>
      <c r="AC26" s="40" t="s">
        <v>1279</v>
      </c>
      <c r="AD26" s="31" t="s">
        <v>151</v>
      </c>
      <c r="AE26" s="125"/>
      <c r="AF26" s="125"/>
    </row>
    <row r="27" spans="1:34" ht="27" customHeight="1" x14ac:dyDescent="0.15">
      <c r="A27" s="182"/>
      <c r="B27" s="182"/>
      <c r="C27" s="182"/>
      <c r="D27" s="185">
        <v>36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B27" s="31">
        <f t="shared" ref="AB27:AB43" si="0">AB26+1</f>
        <v>3</v>
      </c>
      <c r="AC27" s="40" t="s">
        <v>1280</v>
      </c>
      <c r="AD27" s="31" t="s">
        <v>692</v>
      </c>
      <c r="AE27" s="62">
        <f>'ф.1.3 Ср.продолж.'!AD27</f>
        <v>1.4166666666627843E-2</v>
      </c>
      <c r="AF27" s="62">
        <f>'ф.1.3 Ср.продолж.'!AE27</f>
        <v>1.4166666666627843E-2</v>
      </c>
    </row>
    <row r="28" spans="1:34" ht="27" customHeight="1" x14ac:dyDescent="0.15">
      <c r="A28" s="182"/>
      <c r="B28" s="182"/>
      <c r="C28" s="182"/>
      <c r="D28" s="185">
        <v>36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B28" s="31">
        <f t="shared" si="0"/>
        <v>4</v>
      </c>
      <c r="AC28" s="40" t="s">
        <v>1281</v>
      </c>
      <c r="AD28" s="31" t="s">
        <v>143</v>
      </c>
      <c r="AE28" s="62">
        <f>'ф.1.3 Ср.продолж.'!AD28</f>
        <v>4.6666666666666671E-3</v>
      </c>
      <c r="AF28" s="62">
        <f>'ф.1.3 Ср.продолж.'!AE28</f>
        <v>4.6666666666666671E-3</v>
      </c>
    </row>
    <row r="29" spans="1:34" ht="27" customHeight="1" x14ac:dyDescent="0.15">
      <c r="A29" s="182"/>
      <c r="B29" s="182"/>
      <c r="C29" s="182"/>
      <c r="D29" s="185">
        <v>36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B29" s="31">
        <f t="shared" si="0"/>
        <v>5</v>
      </c>
      <c r="AC29" s="40" t="s">
        <v>1282</v>
      </c>
      <c r="AD29" s="31" t="s">
        <v>1283</v>
      </c>
      <c r="AE29" s="37">
        <f>IF(REGION_NAME="г.Санкт-Петербург",'Ф.3.1Ф3.2 ПоказТехприс (Птпр)'!AG28*0.5+'Ф.3.1Ф3.2 ПоказТехприс (Птпр)'!AG37*0.5,'Ф.3.1Ф3.2 ПоказТехприс (Птпр)'!AE28*0.5+'Ф.3.1Ф3.2 ПоказТехприс (Птпр)'!AE37*0.5)</f>
        <v>1</v>
      </c>
      <c r="AF29" s="37">
        <f>IF(REGION_NAME="г.Санкт-Петербург",'Ф.3.1Ф3.2 ПоказТехприс (Птпр)'!AH28*0.5+'Ф.3.1Ф3.2 ПоказТехприс (Птпр)'!AH37*0.5,'Ф.3.1Ф3.2 ПоказТехприс (Птпр)'!AF28*0.5+'Ф.3.1Ф3.2 ПоказТехприс (Птпр)'!AF37*0.5)</f>
        <v>1</v>
      </c>
    </row>
    <row r="30" spans="1:34" ht="27" customHeight="1" x14ac:dyDescent="0.15">
      <c r="A30" s="182"/>
      <c r="B30" s="182"/>
      <c r="C30" s="182"/>
      <c r="D30" s="185">
        <v>36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B30" s="31">
        <f t="shared" si="0"/>
        <v>6</v>
      </c>
      <c r="AC30" s="40" t="s">
        <v>1284</v>
      </c>
      <c r="AD30" s="31" t="s">
        <v>708</v>
      </c>
      <c r="AE30" s="125"/>
      <c r="AF30" s="125"/>
    </row>
    <row r="31" spans="1:34" ht="36" customHeight="1" x14ac:dyDescent="0.15">
      <c r="A31" s="182"/>
      <c r="B31" s="182"/>
      <c r="C31" s="182"/>
      <c r="D31" s="185">
        <v>48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B31" s="31">
        <f t="shared" si="0"/>
        <v>7</v>
      </c>
      <c r="AC31" s="40" t="s">
        <v>1285</v>
      </c>
      <c r="AD31" s="31" t="s">
        <v>1286</v>
      </c>
      <c r="AE31" s="125"/>
      <c r="AF31" s="125"/>
    </row>
    <row r="32" spans="1:34" ht="36" customHeight="1" x14ac:dyDescent="0.15">
      <c r="A32" s="182"/>
      <c r="B32" s="182"/>
      <c r="C32" s="182"/>
      <c r="D32" s="185">
        <v>48</v>
      </c>
      <c r="E32" s="182"/>
      <c r="F32" s="50" t="s">
        <v>1287</v>
      </c>
      <c r="G32" s="50" t="s">
        <v>1274</v>
      </c>
      <c r="H32" s="133" t="s">
        <v>614</v>
      </c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B32" s="31">
        <f t="shared" si="0"/>
        <v>8</v>
      </c>
      <c r="AC32" s="40" t="s">
        <v>1288</v>
      </c>
      <c r="AD32" s="31" t="s">
        <v>1286</v>
      </c>
      <c r="AE32" s="77"/>
      <c r="AF32" s="610"/>
    </row>
    <row r="33" spans="1:32" ht="36" customHeight="1" x14ac:dyDescent="0.15">
      <c r="A33" s="182"/>
      <c r="B33" s="182"/>
      <c r="C33" s="182"/>
      <c r="D33" s="185">
        <v>48</v>
      </c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B33" s="31">
        <f t="shared" si="0"/>
        <v>9</v>
      </c>
      <c r="AC33" s="40" t="s">
        <v>1289</v>
      </c>
      <c r="AD33" s="31" t="s">
        <v>1286</v>
      </c>
      <c r="AE33" s="125"/>
      <c r="AF33" s="125"/>
    </row>
    <row r="34" spans="1:32" ht="23.25" customHeight="1" x14ac:dyDescent="0.15">
      <c r="A34" s="182"/>
      <c r="B34" s="182"/>
      <c r="C34" s="182"/>
      <c r="D34" s="185">
        <v>31</v>
      </c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B34" s="31">
        <f t="shared" si="0"/>
        <v>10</v>
      </c>
      <c r="AC34" s="40" t="s">
        <v>1290</v>
      </c>
      <c r="AD34" s="31" t="s">
        <v>1286</v>
      </c>
      <c r="AE34" s="125"/>
      <c r="AF34" s="125"/>
    </row>
    <row r="35" spans="1:32" ht="24.75" customHeight="1" x14ac:dyDescent="0.15">
      <c r="A35" s="182"/>
      <c r="B35" s="182"/>
      <c r="C35" s="182"/>
      <c r="D35" s="185">
        <v>33</v>
      </c>
      <c r="E35" s="182"/>
      <c r="F35" s="50" t="s">
        <v>1291</v>
      </c>
      <c r="G35" s="50" t="s">
        <v>1292</v>
      </c>
      <c r="H35" s="133" t="s">
        <v>614</v>
      </c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B35" s="31">
        <f t="shared" si="0"/>
        <v>11</v>
      </c>
      <c r="AC35" s="40" t="s">
        <v>1293</v>
      </c>
      <c r="AD35" s="31" t="s">
        <v>1294</v>
      </c>
      <c r="AE35" s="78"/>
      <c r="AF35" s="612"/>
    </row>
    <row r="36" spans="1:32" ht="36" customHeight="1" x14ac:dyDescent="0.15">
      <c r="A36" s="182"/>
      <c r="B36" s="182"/>
      <c r="C36" s="182"/>
      <c r="D36" s="185">
        <v>48</v>
      </c>
      <c r="E36" s="182"/>
      <c r="F36" s="50" t="s">
        <v>1295</v>
      </c>
      <c r="G36" s="50" t="s">
        <v>1296</v>
      </c>
      <c r="H36" s="133" t="s">
        <v>614</v>
      </c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B36" s="31">
        <f t="shared" si="0"/>
        <v>12</v>
      </c>
      <c r="AC36" s="40" t="s">
        <v>1297</v>
      </c>
      <c r="AD36" s="31" t="s">
        <v>1298</v>
      </c>
      <c r="AE36" s="78"/>
      <c r="AF36" s="612"/>
    </row>
    <row r="37" spans="1:32" ht="24" customHeight="1" x14ac:dyDescent="0.15">
      <c r="A37" s="182"/>
      <c r="B37" s="182"/>
      <c r="C37" s="182"/>
      <c r="D37" s="185">
        <v>32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B37" s="31">
        <f t="shared" si="0"/>
        <v>13</v>
      </c>
      <c r="AC37" s="40" t="s">
        <v>1299</v>
      </c>
      <c r="AD37" s="31" t="s">
        <v>1300</v>
      </c>
      <c r="AE37" s="125"/>
      <c r="AF37" s="125"/>
    </row>
    <row r="38" spans="1:32" ht="24" customHeight="1" x14ac:dyDescent="0.15">
      <c r="A38" s="182"/>
      <c r="B38" s="182"/>
      <c r="C38" s="182"/>
      <c r="D38" s="185">
        <v>32</v>
      </c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B38" s="31">
        <f t="shared" si="0"/>
        <v>14</v>
      </c>
      <c r="AC38" s="40" t="s">
        <v>1301</v>
      </c>
      <c r="AD38" s="31" t="s">
        <v>1300</v>
      </c>
      <c r="AE38" s="37">
        <f>IF(AND(AE27=0,AE35=0),0,IF(AE27&gt;AE35*(1+AE52),-1,IF(AE27&lt;=AE35*(1-AE51),1,0)))</f>
        <v>-1</v>
      </c>
      <c r="AF38" s="37">
        <f>IF(AND(AF27=0,AF35=0),0,IF(AF27&gt;AF35*(1+AG52),-1,IF(AF27&lt;=AF35*(1-AG51),1,0)))</f>
        <v>-1</v>
      </c>
    </row>
    <row r="39" spans="1:32" ht="24" customHeight="1" x14ac:dyDescent="0.15">
      <c r="A39" s="182"/>
      <c r="B39" s="182"/>
      <c r="C39" s="182"/>
      <c r="D39" s="185">
        <v>32</v>
      </c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B39" s="31">
        <f t="shared" si="0"/>
        <v>15</v>
      </c>
      <c r="AC39" s="40" t="s">
        <v>1302</v>
      </c>
      <c r="AD39" s="31" t="s">
        <v>1300</v>
      </c>
      <c r="AE39" s="37">
        <f>IF(AND(AE28=0,AE36=0),0,IF(AE28&gt;AE36*(1+AE52),-1,IF(AE28&lt;=AE36*(1-AE51),1,0)))</f>
        <v>-1</v>
      </c>
      <c r="AF39" s="37">
        <f>IF(AND(AF28=0,AF36=0),0,IF(AF28&gt;AF36*(1+AG52),-1,IF(AF28&lt;=AF36*(1-AG51),1,0)))</f>
        <v>-1</v>
      </c>
    </row>
    <row r="40" spans="1:32" ht="42.75" customHeight="1" x14ac:dyDescent="0.15">
      <c r="A40" s="182"/>
      <c r="B40" s="182"/>
      <c r="C40" s="182"/>
      <c r="D40" s="185">
        <v>57</v>
      </c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B40" s="31">
        <f t="shared" si="0"/>
        <v>16</v>
      </c>
      <c r="AC40" s="40" t="s">
        <v>1303</v>
      </c>
      <c r="AD40" s="31" t="s">
        <v>1300</v>
      </c>
      <c r="AE40" s="125"/>
      <c r="AF40" s="125"/>
    </row>
    <row r="41" spans="1:32" ht="27" customHeight="1" x14ac:dyDescent="0.15">
      <c r="A41" s="182"/>
      <c r="B41" s="182"/>
      <c r="C41" s="182"/>
      <c r="D41" s="185">
        <v>36</v>
      </c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B41" s="31">
        <f t="shared" si="0"/>
        <v>17</v>
      </c>
      <c r="AC41" s="40" t="s">
        <v>1304</v>
      </c>
      <c r="AD41" s="31" t="s">
        <v>1300</v>
      </c>
      <c r="AE41" s="37">
        <f>IF(AE29&gt;=AE32*(1+AE67),-1,IF(AE29&lt;=AE32*(1-AE67),1,0))</f>
        <v>-1</v>
      </c>
      <c r="AF41" s="37">
        <f>IF(AF29&gt;=AF32*(1+AG67),-1,IF(AF29&lt;=AF32*(1-AG67),1,0))</f>
        <v>-1</v>
      </c>
    </row>
    <row r="42" spans="1:32" ht="27" customHeight="1" x14ac:dyDescent="0.15">
      <c r="A42" s="182"/>
      <c r="B42" s="182"/>
      <c r="C42" s="182"/>
      <c r="D42" s="185">
        <v>36</v>
      </c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B42" s="31">
        <f t="shared" si="0"/>
        <v>18</v>
      </c>
      <c r="AC42" s="40" t="s">
        <v>1305</v>
      </c>
      <c r="AD42" s="31" t="s">
        <v>1300</v>
      </c>
      <c r="AE42" s="125"/>
      <c r="AF42" s="125"/>
    </row>
    <row r="43" spans="1:32" ht="27" customHeight="1" x14ac:dyDescent="0.15">
      <c r="A43" s="182"/>
      <c r="B43" s="182"/>
      <c r="C43" s="182"/>
      <c r="D43" s="185">
        <v>36</v>
      </c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B43" s="31">
        <f t="shared" si="0"/>
        <v>19</v>
      </c>
      <c r="AC43" s="40" t="s">
        <v>1306</v>
      </c>
      <c r="AD43" s="31" t="s">
        <v>1300</v>
      </c>
      <c r="AE43" s="79"/>
      <c r="AF43" s="613"/>
    </row>
    <row r="44" spans="1:32" ht="12" customHeight="1" x14ac:dyDescent="0.15">
      <c r="A44" s="182"/>
      <c r="B44" s="182"/>
      <c r="C44" s="182"/>
      <c r="D44" s="185">
        <v>16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</row>
    <row r="45" spans="1:32" ht="47.25" customHeight="1" x14ac:dyDescent="0.15">
      <c r="A45" s="182"/>
      <c r="B45" s="182"/>
      <c r="C45" s="182"/>
      <c r="D45" s="185">
        <v>63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C45" s="18" t="str">
        <f>IF(LEN(ruk_dol)=0,"",ruk_dol)</f>
        <v>Генеральный директор</v>
      </c>
      <c r="AD45" s="74" t="str">
        <f>IF(LEN(ruk_FIO)=0,"",ruk_FIO)</f>
        <v>Шохин Александр Ефимович</v>
      </c>
    </row>
    <row r="46" spans="1:32" ht="12" customHeight="1" x14ac:dyDescent="0.15">
      <c r="A46" s="182"/>
      <c r="B46" s="182"/>
      <c r="C46" s="182"/>
      <c r="D46" s="185">
        <v>16</v>
      </c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C46" s="49" t="s">
        <v>652</v>
      </c>
      <c r="AD46" s="52" t="s">
        <v>757</v>
      </c>
      <c r="AE46" s="49" t="s">
        <v>758</v>
      </c>
      <c r="AF46" s="49" t="s">
        <v>758</v>
      </c>
    </row>
    <row r="47" spans="1:32" ht="12" customHeight="1" x14ac:dyDescent="0.15">
      <c r="A47" s="182"/>
      <c r="B47" s="182"/>
      <c r="C47" s="182"/>
      <c r="D47" s="185">
        <v>16</v>
      </c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</row>
    <row r="48" spans="1:32" ht="11.25" hidden="1" customHeight="1" x14ac:dyDescent="0.15">
      <c r="A48" s="182"/>
      <c r="B48" s="182"/>
      <c r="C48" s="182"/>
      <c r="D48" s="185">
        <v>0</v>
      </c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</row>
    <row r="49" spans="1:33" ht="11.25" hidden="1" customHeight="1" x14ac:dyDescent="0.15">
      <c r="A49" s="182"/>
      <c r="B49" s="182"/>
      <c r="C49" s="182"/>
      <c r="D49" s="185">
        <v>0</v>
      </c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</row>
    <row r="50" spans="1:33" ht="32.25" customHeight="1" x14ac:dyDescent="0.15">
      <c r="A50" s="182"/>
      <c r="B50" s="182"/>
      <c r="C50" s="182"/>
      <c r="D50" s="185">
        <v>43</v>
      </c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B50" s="31" t="s">
        <v>687</v>
      </c>
      <c r="AC50" s="31" t="s">
        <v>1307</v>
      </c>
      <c r="AD50" s="31" t="str">
        <f>IF(PRD="","Не определено",PRD-1)&amp;" год"</f>
        <v>2024 год</v>
      </c>
      <c r="AE50" s="31" t="str">
        <f>IF(PRD="","Не определено",PRD)&amp;" год"</f>
        <v>2025 год</v>
      </c>
      <c r="AF50" s="127" t="str">
        <f>IF(PRD="","Не определено",PRD-1)&amp;" год"</f>
        <v>2024 год</v>
      </c>
      <c r="AG50" s="127" t="str">
        <f>IF(PRD="","Не определено",PRD)&amp;" год"</f>
        <v>2025 год</v>
      </c>
    </row>
    <row r="51" spans="1:33" ht="15.75" customHeight="1" x14ac:dyDescent="0.15">
      <c r="A51" s="182"/>
      <c r="B51" s="182"/>
      <c r="C51" s="182"/>
      <c r="D51" s="185">
        <v>21</v>
      </c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B51" s="31">
        <v>1</v>
      </c>
      <c r="AC51" s="40" t="s">
        <v>1308</v>
      </c>
      <c r="AD51" s="125"/>
      <c r="AE51" s="62">
        <f>IF(AND(AE53="да",PRD-FIRST_PERIOD_IN_LT+1&lt;=3),0.35,IF(AND(AE53="да",PRD-FIRST_PERIOD_IN_LT+1=4,AD62&gt;35%),0.3,IF(AND(AE53="да",PRD-FIRST_PERIOD_IN_LT+1=4,AD62&lt;35%),0.35,IF(AND(AD62&gt;35%,AD59=0.35),0.3,IF(AD62&gt;35%,MAX(AD59-0.01,0.25),AD59)))))</f>
        <v>0.35</v>
      </c>
      <c r="AF51" s="125"/>
      <c r="AG51" s="62">
        <f>IF(AND(AG53="да",PRD-FIRST_PERIOD_IN_LT+1&lt;=3),0.35,IF(AND(AG53="да",PRD-FIRST_PERIOD_IN_LT+1=4,AF62&gt;35%),0.3,IF(AND(AG53="да",PRD-FIRST_PERIOD_IN_LT+1=4,AF62&lt;35%),0.35,IF(AND(AF62&gt;35%,AF59=0.35),0.3,IF(AF62&gt;35%,MAX(AF59-0.01,0.25),AF59)))))</f>
        <v>0.35</v>
      </c>
    </row>
    <row r="52" spans="1:33" ht="15.75" customHeight="1" x14ac:dyDescent="0.15">
      <c r="A52" s="182"/>
      <c r="B52" s="182"/>
      <c r="C52" s="182"/>
      <c r="D52" s="185">
        <v>21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B52" s="31">
        <v>2</v>
      </c>
      <c r="AC52" s="40" t="s">
        <v>1309</v>
      </c>
      <c r="AD52" s="125"/>
      <c r="AE52" s="62">
        <f>IF(AND(AE53="да",PRD-FIRST_PERIOD_IN_LT+1&lt;=3),0.35,IF(AND(AE53="да",PRD-FIRST_PERIOD_IN_LT+1=4,AD66&gt;35%),0.3,IF(AND(AE53="да",PRD-FIRST_PERIOD_IN_LT+1=4,AD66&lt;35%),0.35,IF(AND(AD66&gt;35%,AD63=0.35),0.3,IF(AD66&gt;35%,MAX(AD63-0.01,0.25),AD63)))))</f>
        <v>0.35</v>
      </c>
      <c r="AF52" s="125"/>
      <c r="AG52" s="62">
        <f>IF(AND(AG53="да",PRD-FIRST_PERIOD_IN_LT+1&lt;=3),0.35,IF(AND(AG53="да",PRD-FIRST_PERIOD_IN_LT+1=4,AF66&gt;35%),0.3,IF(AND(AG53="да",PRD-FIRST_PERIOD_IN_LT+1=4,AF66&lt;35%),0.35,IF(AND(AF66&gt;35%,AF63=0.35),0.3,IF(AF66&gt;35%,MAX(AF63-0.01,0.25),AF63)))))</f>
        <v>0.35</v>
      </c>
    </row>
    <row r="53" spans="1:33" ht="27" customHeight="1" x14ac:dyDescent="0.15">
      <c r="A53" s="182"/>
      <c r="B53" s="182"/>
      <c r="C53" s="182"/>
      <c r="D53" s="185">
        <v>36</v>
      </c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B53" s="31">
        <f t="shared" ref="AB53:AB67" si="1">AB52+1</f>
        <v>3</v>
      </c>
      <c r="AC53" s="40" t="s">
        <v>1310</v>
      </c>
      <c r="AD53" s="125"/>
      <c r="AE53" s="132" t="str">
        <f>FIRST_PERIOD_INDEX</f>
        <v>да</v>
      </c>
      <c r="AF53" s="125"/>
      <c r="AG53" s="132" t="str">
        <f>FIRST_PERIOD_INDEX</f>
        <v>да</v>
      </c>
    </row>
    <row r="54" spans="1:33" ht="15.75" customHeight="1" x14ac:dyDescent="0.15">
      <c r="A54" s="182"/>
      <c r="B54" s="182"/>
      <c r="C54" s="182"/>
      <c r="D54" s="185">
        <v>21</v>
      </c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B54" s="31">
        <f t="shared" si="1"/>
        <v>4</v>
      </c>
      <c r="AC54" s="40" t="s">
        <v>1311</v>
      </c>
      <c r="AD54" s="125"/>
      <c r="AE54" s="43"/>
      <c r="AF54" s="125"/>
      <c r="AG54" s="307"/>
    </row>
    <row r="55" spans="1:33" ht="15.75" customHeight="1" x14ac:dyDescent="0.15">
      <c r="A55" s="182"/>
      <c r="B55" s="182"/>
      <c r="C55" s="182"/>
      <c r="D55" s="185">
        <v>21</v>
      </c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B55" s="31">
        <f t="shared" si="1"/>
        <v>5</v>
      </c>
      <c r="AC55" s="40" t="s">
        <v>1312</v>
      </c>
      <c r="AD55" s="53"/>
      <c r="AE55" s="125"/>
      <c r="AF55" s="614"/>
      <c r="AG55" s="125"/>
    </row>
    <row r="56" spans="1:33" ht="15.75" customHeight="1" x14ac:dyDescent="0.15">
      <c r="A56" s="182"/>
      <c r="B56" s="182"/>
      <c r="C56" s="182"/>
      <c r="D56" s="185">
        <v>21</v>
      </c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B56" s="31">
        <f t="shared" si="1"/>
        <v>6</v>
      </c>
      <c r="AC56" s="40" t="s">
        <v>1313</v>
      </c>
      <c r="AD56" s="62">
        <f>AE32</f>
        <v>0</v>
      </c>
      <c r="AE56" s="125"/>
      <c r="AF56" s="62">
        <f>AF32</f>
        <v>0</v>
      </c>
      <c r="AG56" s="125"/>
    </row>
    <row r="57" spans="1:33" ht="15.75" customHeight="1" x14ac:dyDescent="0.15">
      <c r="A57" s="182"/>
      <c r="B57" s="182"/>
      <c r="C57" s="182"/>
      <c r="D57" s="185">
        <v>21</v>
      </c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B57" s="31">
        <f t="shared" si="1"/>
        <v>7</v>
      </c>
      <c r="AC57" s="40" t="s">
        <v>1314</v>
      </c>
      <c r="AD57" s="62">
        <f>'Ф.3.1Ф3.2 ПоказТехприс (Птпр)'!AE42</f>
        <v>1</v>
      </c>
      <c r="AE57" s="125"/>
      <c r="AF57" s="62">
        <f>'Ф.3.1Ф3.2 ПоказТехприс (Птпр)'!AF42</f>
        <v>1</v>
      </c>
      <c r="AG57" s="125"/>
    </row>
    <row r="58" spans="1:33" ht="15.75" customHeight="1" x14ac:dyDescent="0.15">
      <c r="A58" s="182"/>
      <c r="B58" s="182"/>
      <c r="C58" s="182"/>
      <c r="D58" s="185">
        <v>21</v>
      </c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B58" s="31">
        <f t="shared" si="1"/>
        <v>8</v>
      </c>
      <c r="AC58" s="40" t="s">
        <v>1315</v>
      </c>
      <c r="AD58" s="615">
        <f>IF(AD56=0,0,IF(AD57/AD56&lt;1,0,1))</f>
        <v>0</v>
      </c>
      <c r="AE58" s="125"/>
      <c r="AF58" s="80">
        <f>IF(AF56=0,0,IF(AF57/AF56&lt;1,0,1))</f>
        <v>0</v>
      </c>
      <c r="AG58" s="125"/>
    </row>
    <row r="59" spans="1:33" ht="15.75" customHeight="1" x14ac:dyDescent="0.15">
      <c r="A59" s="182"/>
      <c r="B59" s="182"/>
      <c r="C59" s="182"/>
      <c r="D59" s="185">
        <v>21</v>
      </c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B59" s="31">
        <f t="shared" si="1"/>
        <v>9</v>
      </c>
      <c r="AC59" s="40" t="s">
        <v>1316</v>
      </c>
      <c r="AD59" s="53"/>
      <c r="AE59" s="125"/>
      <c r="AF59" s="614"/>
      <c r="AG59" s="125"/>
    </row>
    <row r="60" spans="1:33" ht="12" customHeight="1" x14ac:dyDescent="0.15">
      <c r="A60" s="182"/>
      <c r="B60" s="182"/>
      <c r="C60" s="182"/>
      <c r="D60" s="185">
        <v>16</v>
      </c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B60" s="31">
        <f t="shared" si="1"/>
        <v>10</v>
      </c>
      <c r="AC60" s="40" t="s">
        <v>1317</v>
      </c>
      <c r="AD60" s="62">
        <f>AE35</f>
        <v>0</v>
      </c>
      <c r="AE60" s="125"/>
      <c r="AF60" s="62">
        <f>AF35</f>
        <v>0</v>
      </c>
      <c r="AG60" s="125"/>
    </row>
    <row r="61" spans="1:33" ht="12" customHeight="1" x14ac:dyDescent="0.15">
      <c r="A61" s="182"/>
      <c r="B61" s="182"/>
      <c r="C61" s="182"/>
      <c r="D61" s="185">
        <v>16</v>
      </c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B61" s="31">
        <f t="shared" si="1"/>
        <v>11</v>
      </c>
      <c r="AC61" s="40" t="s">
        <v>1318</v>
      </c>
      <c r="AD61" s="62">
        <f>AE27</f>
        <v>1.4166666666627843E-2</v>
      </c>
      <c r="AE61" s="125"/>
      <c r="AF61" s="62">
        <f>AF27</f>
        <v>1.4166666666627843E-2</v>
      </c>
      <c r="AG61" s="125"/>
    </row>
    <row r="62" spans="1:33" ht="12" customHeight="1" x14ac:dyDescent="0.15">
      <c r="A62" s="182"/>
      <c r="B62" s="182"/>
      <c r="C62" s="182"/>
      <c r="D62" s="185">
        <v>16</v>
      </c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B62" s="31">
        <f t="shared" si="1"/>
        <v>12</v>
      </c>
      <c r="AC62" s="40" t="s">
        <v>1319</v>
      </c>
      <c r="AD62" s="616">
        <f>IF(AD60=0,0,AD61/AD60-1)</f>
        <v>0</v>
      </c>
      <c r="AE62" s="125"/>
      <c r="AF62" s="81">
        <f>IF(AF60=0,0,AF61/AF60-1)</f>
        <v>0</v>
      </c>
      <c r="AG62" s="125"/>
    </row>
    <row r="63" spans="1:33" ht="12" customHeight="1" x14ac:dyDescent="0.15">
      <c r="A63" s="182"/>
      <c r="B63" s="182"/>
      <c r="C63" s="182"/>
      <c r="D63" s="185">
        <v>16</v>
      </c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B63" s="31">
        <f t="shared" si="1"/>
        <v>13</v>
      </c>
      <c r="AC63" s="40" t="s">
        <v>1320</v>
      </c>
      <c r="AD63" s="53"/>
      <c r="AE63" s="125"/>
      <c r="AF63" s="614"/>
      <c r="AG63" s="125"/>
    </row>
    <row r="64" spans="1:33" ht="12" customHeight="1" x14ac:dyDescent="0.15">
      <c r="A64" s="182"/>
      <c r="B64" s="182"/>
      <c r="C64" s="182"/>
      <c r="D64" s="185">
        <v>16</v>
      </c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B64" s="31">
        <f t="shared" si="1"/>
        <v>14</v>
      </c>
      <c r="AC64" s="40" t="s">
        <v>1321</v>
      </c>
      <c r="AD64" s="62">
        <f>AE36</f>
        <v>0</v>
      </c>
      <c r="AE64" s="125"/>
      <c r="AF64" s="62">
        <f>AF36</f>
        <v>0</v>
      </c>
      <c r="AG64" s="125"/>
    </row>
    <row r="65" spans="1:34" ht="12" customHeight="1" x14ac:dyDescent="0.15">
      <c r="A65" s="182"/>
      <c r="B65" s="182"/>
      <c r="C65" s="182"/>
      <c r="D65" s="185">
        <v>16</v>
      </c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B65" s="31">
        <f t="shared" si="1"/>
        <v>15</v>
      </c>
      <c r="AC65" s="40" t="s">
        <v>1322</v>
      </c>
      <c r="AD65" s="62">
        <f>AE28</f>
        <v>4.6666666666666671E-3</v>
      </c>
      <c r="AE65" s="125"/>
      <c r="AF65" s="62">
        <f>AF28</f>
        <v>4.6666666666666671E-3</v>
      </c>
      <c r="AG65" s="125"/>
    </row>
    <row r="66" spans="1:34" ht="12" customHeight="1" x14ac:dyDescent="0.15">
      <c r="A66" s="182"/>
      <c r="B66" s="182"/>
      <c r="C66" s="182"/>
      <c r="D66" s="185">
        <v>16</v>
      </c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B66" s="31">
        <f t="shared" si="1"/>
        <v>16</v>
      </c>
      <c r="AC66" s="40" t="s">
        <v>1323</v>
      </c>
      <c r="AD66" s="81">
        <f>IF(AD64=0,0,AD65/AD64-1)</f>
        <v>0</v>
      </c>
      <c r="AE66" s="125"/>
      <c r="AF66" s="81">
        <f>IF(AF64=0,0,AF65/AF64-1)</f>
        <v>0</v>
      </c>
      <c r="AG66" s="125"/>
    </row>
    <row r="67" spans="1:34" ht="12" customHeight="1" x14ac:dyDescent="0.15">
      <c r="A67" s="182"/>
      <c r="B67" s="182"/>
      <c r="C67" s="182"/>
      <c r="D67" s="185">
        <v>16</v>
      </c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B67" s="31">
        <f t="shared" si="1"/>
        <v>17</v>
      </c>
      <c r="AC67" s="40" t="s">
        <v>1324</v>
      </c>
      <c r="AD67" s="125"/>
      <c r="AE67" s="37">
        <f>IF(AND(AE53="да",PRD-FIRST_PERIOD_IN_LT+1&lt;=3),0.35,IF(AND(AE53="да",PRD-FIRST_PERIOD_IN_LT+1=4,AD58=1),0.3,IF(AND(AE53="да",PRD-FIRST_PERIOD_IN_LT+1=4,AD58=0),0.35,IF(AND(AD58=1,AD55=0.35),0.3,IF(AD58=1,MAX(AD55-0.01,0.25),AD55)))))</f>
        <v>0.35</v>
      </c>
      <c r="AF67" s="125"/>
      <c r="AG67" s="37">
        <f>IF(AND(AG53="да",PRD-FIRST_PERIOD_IN_LT+1&lt;=3),0.35,IF(AND(AG53="да",PRD-FIRST_PERIOD_IN_LT+1=4,AF58=1),0.3,IF(AND(AG53="да",PRD-FIRST_PERIOD_IN_LT+1=4,AF58=0),0.35,IF(AND(AF58=1,AF55=0.35),0.3,IF(AF58=1,MAX(AF55-0.01,0.25),AF55)))))</f>
        <v>0.35</v>
      </c>
    </row>
    <row r="68" spans="1:34" ht="11.25" hidden="1" customHeight="1" x14ac:dyDescent="0.15">
      <c r="A68" s="182"/>
      <c r="B68" s="182"/>
      <c r="C68" s="182"/>
      <c r="D68" s="183">
        <v>0</v>
      </c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H68" t="s">
        <v>71</v>
      </c>
    </row>
  </sheetData>
  <sheetProtection formatColumns="0" formatRows="0" insertRows="0" deleteColumns="0" deleteRows="0" sort="0" autoFilter="0"/>
  <mergeCells count="2">
    <mergeCell ref="AB22:AE22"/>
    <mergeCell ref="AB21:AD21"/>
  </mergeCells>
  <dataValidations count="2">
    <dataValidation type="whole" allowBlank="1" showErrorMessage="1" errorTitle="Ошибка" error="Допускается ввод только неотрицательных целых чисел!" sqref="AG54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AE32:AF32 AE35:AF36">
      <formula1>0</formula1>
      <formula2>9.99999999999999E+23</formula2>
    </dataValidation>
  </dataValidation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D9F1"/>
  </sheetPr>
  <dimension ref="A1:AJ88"/>
  <sheetViews>
    <sheetView showGridLines="0" topLeftCell="AA49" zoomScaleNormal="100" workbookViewId="0">
      <selection activeCell="AL63" sqref="AL63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5.5703125" style="166" customWidth="1"/>
    <col min="29" max="29" width="67.5703125" style="166" customWidth="1"/>
    <col min="30" max="30" width="28.140625" style="166" customWidth="1"/>
    <col min="31" max="31" width="12.5703125" style="166" customWidth="1"/>
    <col min="32" max="32" width="12.5703125" style="166" hidden="1" customWidth="1"/>
    <col min="33" max="33" width="13.140625" style="166" hidden="1" customWidth="1"/>
    <col min="34" max="35" width="8.5703125" style="166" hidden="1" customWidth="1"/>
    <col min="36" max="36" width="0" hidden="1" customWidth="1"/>
  </cols>
  <sheetData>
    <row r="1" spans="1:36" ht="22.5" hidden="1" customHeight="1" x14ac:dyDescent="0.15">
      <c r="A1" s="182"/>
      <c r="B1" s="182"/>
      <c r="C1" s="182"/>
      <c r="D1" s="183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22"/>
    </row>
    <row r="2" spans="1:36" ht="12.75" hidden="1" customHeight="1" x14ac:dyDescent="0.15">
      <c r="A2" s="182"/>
      <c r="B2" s="182"/>
      <c r="C2" s="182"/>
      <c r="D2" s="183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59" t="b">
        <f>REPORT_OWNER="Версия регулятора"</f>
        <v>0</v>
      </c>
      <c r="AG2" s="59" t="b">
        <f>REPORT_OWNER="Версия регулятора"</f>
        <v>0</v>
      </c>
      <c r="AH2" s="182"/>
      <c r="AI2" s="182"/>
      <c r="AJ2" s="122"/>
    </row>
    <row r="3" spans="1:36" ht="11.25" hidden="1" customHeight="1" x14ac:dyDescent="0.15">
      <c r="A3" s="182"/>
      <c r="B3" s="182"/>
      <c r="C3" s="182"/>
      <c r="D3" s="183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22"/>
    </row>
    <row r="4" spans="1:36" ht="12.75" hidden="1" customHeight="1" x14ac:dyDescent="0.15">
      <c r="A4" s="183"/>
      <c r="B4" s="183"/>
      <c r="C4" s="183"/>
      <c r="D4" s="183"/>
      <c r="E4" s="185">
        <v>61</v>
      </c>
      <c r="F4" s="185">
        <v>61</v>
      </c>
      <c r="G4" s="185">
        <v>61</v>
      </c>
      <c r="H4" s="185">
        <v>61</v>
      </c>
      <c r="I4" s="185">
        <v>61</v>
      </c>
      <c r="J4" s="185">
        <v>61</v>
      </c>
      <c r="K4" s="185">
        <v>61</v>
      </c>
      <c r="L4" s="185">
        <v>61</v>
      </c>
      <c r="M4" s="185">
        <v>61</v>
      </c>
      <c r="N4" s="185">
        <v>61</v>
      </c>
      <c r="O4" s="185">
        <v>61</v>
      </c>
      <c r="P4" s="185">
        <v>61</v>
      </c>
      <c r="Q4" s="185">
        <v>61</v>
      </c>
      <c r="R4" s="185">
        <v>61</v>
      </c>
      <c r="S4" s="185">
        <v>61</v>
      </c>
      <c r="T4" s="185">
        <v>61</v>
      </c>
      <c r="U4" s="185">
        <v>61</v>
      </c>
      <c r="V4" s="185">
        <v>61</v>
      </c>
      <c r="W4" s="185">
        <v>61</v>
      </c>
      <c r="X4" s="185">
        <v>61</v>
      </c>
      <c r="Y4" s="185">
        <v>61</v>
      </c>
      <c r="Z4" s="185">
        <v>61</v>
      </c>
      <c r="AA4" s="185">
        <v>26</v>
      </c>
      <c r="AB4" s="185">
        <v>39</v>
      </c>
      <c r="AC4" s="185">
        <v>473</v>
      </c>
      <c r="AD4" s="185">
        <v>133</v>
      </c>
      <c r="AE4" s="185">
        <v>88</v>
      </c>
      <c r="AF4" s="185">
        <v>88</v>
      </c>
      <c r="AG4" s="185">
        <v>92</v>
      </c>
      <c r="AH4" s="185">
        <v>0</v>
      </c>
      <c r="AI4" s="185">
        <v>0</v>
      </c>
      <c r="AJ4" s="15">
        <v>0</v>
      </c>
    </row>
    <row r="5" spans="1:36" ht="26.25" hidden="1" customHeight="1" x14ac:dyDescent="0.15">
      <c r="A5" s="182"/>
      <c r="B5" s="182"/>
      <c r="C5" s="182"/>
      <c r="D5" s="185">
        <v>35</v>
      </c>
      <c r="E5" s="59" t="s">
        <v>600</v>
      </c>
      <c r="F5" s="134" t="s">
        <v>601</v>
      </c>
      <c r="G5" s="134" t="s">
        <v>602</v>
      </c>
      <c r="H5" s="134" t="s">
        <v>603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22"/>
    </row>
    <row r="6" spans="1:36" ht="26.25" hidden="1" customHeight="1" x14ac:dyDescent="0.15">
      <c r="A6" s="182"/>
      <c r="B6" s="182"/>
      <c r="C6" s="182"/>
      <c r="D6" s="185">
        <v>35</v>
      </c>
      <c r="E6" s="134" t="s">
        <v>816</v>
      </c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38" t="s">
        <v>617</v>
      </c>
      <c r="AF6" s="50" t="s">
        <v>817</v>
      </c>
      <c r="AG6" s="182"/>
      <c r="AH6" s="182"/>
      <c r="AI6" s="182"/>
      <c r="AJ6" s="122"/>
    </row>
    <row r="7" spans="1:36" ht="26.25" hidden="1" customHeight="1" x14ac:dyDescent="0.15">
      <c r="A7" s="182"/>
      <c r="B7" s="182"/>
      <c r="C7" s="182"/>
      <c r="D7" s="185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22"/>
    </row>
    <row r="8" spans="1:36" ht="26.25" hidden="1" customHeight="1" x14ac:dyDescent="0.15">
      <c r="A8" s="182"/>
      <c r="B8" s="182"/>
      <c r="C8" s="182"/>
      <c r="D8" s="185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22"/>
    </row>
    <row r="9" spans="1:36" ht="26.25" hidden="1" customHeight="1" x14ac:dyDescent="0.15">
      <c r="A9" s="182"/>
      <c r="B9" s="182"/>
      <c r="C9" s="182"/>
      <c r="D9" s="18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22"/>
    </row>
    <row r="10" spans="1:36" ht="26.25" hidden="1" customHeight="1" x14ac:dyDescent="0.15">
      <c r="A10" s="182"/>
      <c r="B10" s="182"/>
      <c r="C10" s="182"/>
      <c r="D10" s="18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22"/>
    </row>
    <row r="11" spans="1:36" ht="26.25" hidden="1" customHeight="1" x14ac:dyDescent="0.15">
      <c r="A11" s="182"/>
      <c r="B11" s="182"/>
      <c r="C11" s="182"/>
      <c r="D11" s="18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22"/>
    </row>
    <row r="12" spans="1:36" ht="26.25" hidden="1" customHeight="1" x14ac:dyDescent="0.15">
      <c r="A12" s="182"/>
      <c r="B12" s="182"/>
      <c r="C12" s="182"/>
      <c r="D12" s="18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22"/>
    </row>
    <row r="13" spans="1:36" ht="26.25" hidden="1" customHeight="1" x14ac:dyDescent="0.15">
      <c r="A13" s="182"/>
      <c r="B13" s="182"/>
      <c r="C13" s="182"/>
      <c r="D13" s="18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22"/>
    </row>
    <row r="14" spans="1:36" ht="26.25" hidden="1" customHeight="1" x14ac:dyDescent="0.15">
      <c r="A14" s="182"/>
      <c r="B14" s="182"/>
      <c r="C14" s="182"/>
      <c r="D14" s="18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22"/>
    </row>
    <row r="15" spans="1:36" ht="26.25" hidden="1" customHeight="1" x14ac:dyDescent="0.15">
      <c r="A15" s="182"/>
      <c r="B15" s="182"/>
      <c r="C15" s="182"/>
      <c r="D15" s="18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22"/>
    </row>
    <row r="16" spans="1:36" ht="26.25" hidden="1" customHeight="1" x14ac:dyDescent="0.15">
      <c r="A16" s="182"/>
      <c r="B16" s="182"/>
      <c r="C16" s="182"/>
      <c r="D16" s="18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22"/>
    </row>
    <row r="17" spans="1:36" ht="26.25" hidden="1" customHeight="1" x14ac:dyDescent="0.15">
      <c r="A17" s="182"/>
      <c r="B17" s="182"/>
      <c r="C17" s="182"/>
      <c r="D17" s="18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22"/>
    </row>
    <row r="18" spans="1:36" ht="26.25" hidden="1" customHeight="1" x14ac:dyDescent="0.15">
      <c r="A18" s="182"/>
      <c r="B18" s="182"/>
      <c r="C18" s="182"/>
      <c r="D18" s="18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22"/>
    </row>
    <row r="19" spans="1:36" ht="26.25" hidden="1" customHeight="1" x14ac:dyDescent="0.15">
      <c r="A19" s="182"/>
      <c r="B19" s="182"/>
      <c r="C19" s="182"/>
      <c r="D19" s="18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22"/>
    </row>
    <row r="20" spans="1:36" ht="15" customHeight="1" x14ac:dyDescent="0.15">
      <c r="A20" s="182"/>
      <c r="B20" s="182"/>
      <c r="C20" s="182"/>
      <c r="D20" s="18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36" ht="36.75" customHeight="1" x14ac:dyDescent="0.15">
      <c r="A21" s="182"/>
      <c r="B21" s="182"/>
      <c r="C21" s="182"/>
      <c r="D21" s="185">
        <v>49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678" t="str">
        <f>ORG</f>
        <v>ООО "Энергонефть Томск"</v>
      </c>
      <c r="AC21" s="679"/>
      <c r="AD21" s="679"/>
    </row>
    <row r="22" spans="1:36" ht="31.5" customHeight="1" x14ac:dyDescent="0.15">
      <c r="A22" s="182"/>
      <c r="B22" s="182"/>
      <c r="C22" s="182"/>
      <c r="D22" s="185">
        <v>42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663" t="s">
        <v>1275</v>
      </c>
      <c r="AC22" s="663"/>
      <c r="AD22" s="663"/>
      <c r="AE22" s="663"/>
    </row>
    <row r="23" spans="1:36" ht="6" customHeight="1" x14ac:dyDescent="0.15">
      <c r="A23" s="182"/>
      <c r="B23" s="182"/>
      <c r="C23" s="182"/>
      <c r="D23" s="185">
        <v>8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36" ht="27" customHeight="1" x14ac:dyDescent="0.15">
      <c r="A24" s="182"/>
      <c r="B24" s="182"/>
      <c r="C24" s="182"/>
      <c r="D24" s="185">
        <v>36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B24" s="31" t="s">
        <v>687</v>
      </c>
      <c r="AC24" s="31" t="s">
        <v>1276</v>
      </c>
      <c r="AD24" s="31" t="s">
        <v>1277</v>
      </c>
      <c r="AE24" s="31" t="str">
        <f>IF(PRD="","Не определено",PRD)&amp;" год"</f>
        <v>2025 год</v>
      </c>
      <c r="AF24" s="127" t="str">
        <f>IF(PRD="","Не определено",PRD)&amp;" год"</f>
        <v>2025 год</v>
      </c>
    </row>
    <row r="25" spans="1:36" ht="27" customHeight="1" x14ac:dyDescent="0.15">
      <c r="A25" s="182"/>
      <c r="B25" s="182"/>
      <c r="C25" s="182"/>
      <c r="D25" s="185">
        <v>36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B25" s="31">
        <v>1</v>
      </c>
      <c r="AC25" s="40" t="s">
        <v>1278</v>
      </c>
      <c r="AD25" s="31" t="s">
        <v>112</v>
      </c>
      <c r="AE25" s="125"/>
      <c r="AF25" s="125"/>
    </row>
    <row r="26" spans="1:36" ht="15.75" customHeight="1" x14ac:dyDescent="0.15">
      <c r="A26" s="182"/>
      <c r="B26" s="182"/>
      <c r="C26" s="182"/>
      <c r="D26" s="185">
        <v>21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B26" s="31">
        <v>2</v>
      </c>
      <c r="AC26" s="40" t="s">
        <v>1279</v>
      </c>
      <c r="AD26" s="31" t="s">
        <v>151</v>
      </c>
      <c r="AE26" s="125"/>
      <c r="AF26" s="125"/>
    </row>
    <row r="27" spans="1:36" ht="27" customHeight="1" x14ac:dyDescent="0.15">
      <c r="A27" s="182"/>
      <c r="B27" s="182"/>
      <c r="C27" s="182"/>
      <c r="D27" s="185">
        <v>36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B27" s="31" t="s">
        <v>774</v>
      </c>
      <c r="AC27" s="40" t="s">
        <v>1325</v>
      </c>
      <c r="AD27" s="31" t="s">
        <v>692</v>
      </c>
      <c r="AE27" s="62">
        <f>'ф.1.3.1 Ср.продолж.'!AD31</f>
        <v>0</v>
      </c>
      <c r="AF27" s="62">
        <f>'ф.1.3.1 Ср.продолж.'!AE31</f>
        <v>0</v>
      </c>
    </row>
    <row r="28" spans="1:36" ht="27" customHeight="1" x14ac:dyDescent="0.15">
      <c r="A28" s="182"/>
      <c r="B28" s="182"/>
      <c r="C28" s="182"/>
      <c r="D28" s="185">
        <v>36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B28" s="31" t="s">
        <v>776</v>
      </c>
      <c r="AC28" s="40" t="s">
        <v>1326</v>
      </c>
      <c r="AD28" s="31" t="s">
        <v>692</v>
      </c>
      <c r="AE28" s="62">
        <f>'ф.1.3.1 Ср.продолж.'!AD32</f>
        <v>0</v>
      </c>
      <c r="AF28" s="62">
        <f>'ф.1.3.1 Ср.продолж.'!AE32</f>
        <v>0</v>
      </c>
    </row>
    <row r="29" spans="1:36" ht="27" customHeight="1" x14ac:dyDescent="0.15">
      <c r="A29" s="182"/>
      <c r="B29" s="182"/>
      <c r="C29" s="182"/>
      <c r="D29" s="185">
        <v>36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B29" s="31" t="s">
        <v>1327</v>
      </c>
      <c r="AC29" s="40" t="s">
        <v>1328</v>
      </c>
      <c r="AD29" s="31" t="s">
        <v>692</v>
      </c>
      <c r="AE29" s="62">
        <f>'ф.1.3.1 Ср.продолж.'!AD33</f>
        <v>6.8769999999999998E-2</v>
      </c>
      <c r="AF29" s="62">
        <f>'ф.1.3.1 Ср.продолж.'!AE33</f>
        <v>6.8769999999999998E-2</v>
      </c>
    </row>
    <row r="30" spans="1:36" ht="27" customHeight="1" x14ac:dyDescent="0.15">
      <c r="A30" s="182"/>
      <c r="B30" s="182"/>
      <c r="C30" s="182"/>
      <c r="D30" s="185">
        <v>36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B30" s="31" t="s">
        <v>1329</v>
      </c>
      <c r="AC30" s="40" t="s">
        <v>1330</v>
      </c>
      <c r="AD30" s="31" t="s">
        <v>692</v>
      </c>
      <c r="AE30" s="62">
        <f>'ф.1.3.1 Ср.продолж.'!AD34</f>
        <v>0</v>
      </c>
      <c r="AF30" s="62">
        <f>'ф.1.3.1 Ср.продолж.'!AE34</f>
        <v>0</v>
      </c>
    </row>
    <row r="31" spans="1:36" ht="27" customHeight="1" x14ac:dyDescent="0.15">
      <c r="A31" s="182"/>
      <c r="B31" s="182"/>
      <c r="C31" s="182"/>
      <c r="D31" s="185">
        <v>36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B31" s="31" t="s">
        <v>779</v>
      </c>
      <c r="AC31" s="40" t="s">
        <v>1331</v>
      </c>
      <c r="AD31" s="31" t="s">
        <v>143</v>
      </c>
      <c r="AE31" s="62">
        <f>'ф.1.3.1 Ср.продолж.'!AD35</f>
        <v>0</v>
      </c>
      <c r="AF31" s="62">
        <f>'ф.1.3.1 Ср.продолж.'!AE35</f>
        <v>0</v>
      </c>
    </row>
    <row r="32" spans="1:36" ht="27" customHeight="1" x14ac:dyDescent="0.15">
      <c r="A32" s="182"/>
      <c r="B32" s="182"/>
      <c r="C32" s="182"/>
      <c r="D32" s="185">
        <v>36</v>
      </c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B32" s="31" t="s">
        <v>1168</v>
      </c>
      <c r="AC32" s="40" t="s">
        <v>1332</v>
      </c>
      <c r="AD32" s="31" t="s">
        <v>143</v>
      </c>
      <c r="AE32" s="62">
        <f>'ф.1.3.1 Ср.продолж.'!AD36</f>
        <v>0</v>
      </c>
      <c r="AF32" s="62">
        <f>'ф.1.3.1 Ср.продолж.'!AE36</f>
        <v>0</v>
      </c>
    </row>
    <row r="33" spans="1:35" ht="27" customHeight="1" x14ac:dyDescent="0.15">
      <c r="A33" s="182"/>
      <c r="B33" s="182"/>
      <c r="C33" s="182"/>
      <c r="D33" s="185">
        <v>36</v>
      </c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B33" s="31" t="s">
        <v>1169</v>
      </c>
      <c r="AC33" s="40" t="s">
        <v>1333</v>
      </c>
      <c r="AD33" s="31" t="s">
        <v>143</v>
      </c>
      <c r="AE33" s="62">
        <f>'ф.1.3.1 Ср.продолж.'!AD37</f>
        <v>2.265E-2</v>
      </c>
      <c r="AF33" s="62">
        <f>'ф.1.3.1 Ср.продолж.'!AE37</f>
        <v>2.265E-2</v>
      </c>
    </row>
    <row r="34" spans="1:35" ht="27" customHeight="1" x14ac:dyDescent="0.15">
      <c r="A34" s="182"/>
      <c r="B34" s="182"/>
      <c r="C34" s="182"/>
      <c r="D34" s="185">
        <v>36</v>
      </c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B34" s="31" t="s">
        <v>1170</v>
      </c>
      <c r="AC34" s="40" t="s">
        <v>1334</v>
      </c>
      <c r="AD34" s="31" t="s">
        <v>143</v>
      </c>
      <c r="AE34" s="62">
        <f>'ф.1.3.1 Ср.продолж.'!AD38</f>
        <v>0</v>
      </c>
      <c r="AF34" s="62">
        <f>'ф.1.3.1 Ср.продолж.'!AE38</f>
        <v>0</v>
      </c>
    </row>
    <row r="35" spans="1:35" ht="27" customHeight="1" x14ac:dyDescent="0.15">
      <c r="A35" s="182"/>
      <c r="B35" s="182"/>
      <c r="C35" s="182"/>
      <c r="D35" s="185">
        <v>36</v>
      </c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B35" s="31">
        <v>5</v>
      </c>
      <c r="AC35" s="40" t="s">
        <v>1282</v>
      </c>
      <c r="AD35" s="31" t="s">
        <v>1283</v>
      </c>
      <c r="AE35" s="37">
        <f>IF(REGION_NAME="г.Санкт-Петербург",'Ф.3.1Ф3.2 ПоказТехприс (Птпр)'!AG28*0.5+'Ф.3.1Ф3.2 ПоказТехприс (Птпр)'!AG37*0.5,'Ф.3.1Ф3.2 ПоказТехприс (Птпр)'!AE28*0.5+'Ф.3.1Ф3.2 ПоказТехприс (Птпр)'!AE37*0.5)</f>
        <v>1</v>
      </c>
      <c r="AF35" s="37">
        <f>IF(REGION_NAME="г.Санкт-Петербург",'Ф.3.1Ф3.2 ПоказТехприс (Птпр)'!AH28*0.5+'Ф.3.1Ф3.2 ПоказТехприс (Птпр)'!AH37*0.5,'Ф.3.1Ф3.2 ПоказТехприс (Птпр)'!AF28*0.5+'Ф.3.1Ф3.2 ПоказТехприс (Птпр)'!AF37*0.5)</f>
        <v>1</v>
      </c>
    </row>
    <row r="36" spans="1:35" ht="27" customHeight="1" x14ac:dyDescent="0.15">
      <c r="A36" s="182"/>
      <c r="B36" s="182"/>
      <c r="C36" s="182"/>
      <c r="D36" s="185">
        <v>36</v>
      </c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B36" s="31">
        <v>6</v>
      </c>
      <c r="AC36" s="40" t="s">
        <v>1284</v>
      </c>
      <c r="AD36" s="31" t="s">
        <v>708</v>
      </c>
      <c r="AE36" s="125"/>
      <c r="AF36" s="125"/>
    </row>
    <row r="37" spans="1:35" ht="36" customHeight="1" x14ac:dyDescent="0.15">
      <c r="A37" s="182"/>
      <c r="B37" s="182"/>
      <c r="C37" s="182"/>
      <c r="D37" s="185">
        <v>48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B37" s="31">
        <v>7</v>
      </c>
      <c r="AC37" s="40" t="s">
        <v>1285</v>
      </c>
      <c r="AD37" s="31" t="s">
        <v>1286</v>
      </c>
      <c r="AE37" s="125"/>
      <c r="AF37" s="125"/>
    </row>
    <row r="38" spans="1:35" ht="36" customHeight="1" x14ac:dyDescent="0.15">
      <c r="A38" s="182"/>
      <c r="B38" s="182"/>
      <c r="C38" s="182"/>
      <c r="D38" s="185">
        <v>48</v>
      </c>
      <c r="E38" s="182"/>
      <c r="F38" s="50" t="s">
        <v>1287</v>
      </c>
      <c r="G38" s="50" t="s">
        <v>1274</v>
      </c>
      <c r="H38" s="133" t="s">
        <v>614</v>
      </c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B38" s="31">
        <v>8</v>
      </c>
      <c r="AC38" s="40" t="s">
        <v>1288</v>
      </c>
      <c r="AD38" s="31" t="s">
        <v>1286</v>
      </c>
      <c r="AE38" s="77">
        <v>1</v>
      </c>
      <c r="AF38" s="610"/>
    </row>
    <row r="39" spans="1:35" ht="36" customHeight="1" x14ac:dyDescent="0.15">
      <c r="A39" s="182"/>
      <c r="B39" s="182"/>
      <c r="C39" s="182"/>
      <c r="D39" s="185">
        <v>48</v>
      </c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B39" s="31">
        <v>9</v>
      </c>
      <c r="AC39" s="40" t="s">
        <v>1289</v>
      </c>
      <c r="AD39" s="31" t="s">
        <v>1286</v>
      </c>
      <c r="AE39" s="125"/>
      <c r="AF39" s="125"/>
    </row>
    <row r="40" spans="1:35" ht="23.25" customHeight="1" x14ac:dyDescent="0.15">
      <c r="A40" s="182"/>
      <c r="B40" s="182"/>
      <c r="C40" s="182"/>
      <c r="D40" s="185">
        <v>31</v>
      </c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B40" s="31">
        <v>10</v>
      </c>
      <c r="AC40" s="40" t="s">
        <v>1290</v>
      </c>
      <c r="AD40" s="31" t="s">
        <v>1286</v>
      </c>
      <c r="AE40" s="125"/>
      <c r="AF40" s="125"/>
    </row>
    <row r="41" spans="1:35" ht="24.75" customHeight="1" x14ac:dyDescent="0.15">
      <c r="A41" s="182"/>
      <c r="B41" s="182"/>
      <c r="C41" s="182"/>
      <c r="D41" s="185">
        <v>33</v>
      </c>
      <c r="E41" s="182"/>
      <c r="F41" s="50" t="s">
        <v>1335</v>
      </c>
      <c r="G41" s="50" t="s">
        <v>1292</v>
      </c>
      <c r="H41" s="133" t="s">
        <v>614</v>
      </c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B41" s="31" t="s">
        <v>1157</v>
      </c>
      <c r="AC41" s="40" t="s">
        <v>1336</v>
      </c>
      <c r="AD41" s="31" t="s">
        <v>1294</v>
      </c>
      <c r="AE41" s="78">
        <v>4.4378799999999998</v>
      </c>
      <c r="AF41" s="612"/>
      <c r="AH41" s="617" t="s">
        <v>2110</v>
      </c>
      <c r="AI41" s="82">
        <f t="shared" ref="AH41:AI48" si="0">IF(AF41=0,0,1)</f>
        <v>0</v>
      </c>
    </row>
    <row r="42" spans="1:35" ht="24.75" customHeight="1" x14ac:dyDescent="0.15">
      <c r="A42" s="182"/>
      <c r="B42" s="182"/>
      <c r="C42" s="182"/>
      <c r="D42" s="185">
        <v>33</v>
      </c>
      <c r="E42" s="182"/>
      <c r="F42" s="50" t="s">
        <v>1337</v>
      </c>
      <c r="G42" s="50" t="s">
        <v>1292</v>
      </c>
      <c r="H42" s="133" t="s">
        <v>614</v>
      </c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B42" s="31" t="s">
        <v>1159</v>
      </c>
      <c r="AC42" s="40" t="s">
        <v>1338</v>
      </c>
      <c r="AD42" s="31" t="s">
        <v>1294</v>
      </c>
      <c r="AE42" s="78">
        <v>4.4378799999999998</v>
      </c>
      <c r="AF42" s="612"/>
      <c r="AH42" s="82">
        <f t="shared" si="0"/>
        <v>1</v>
      </c>
      <c r="AI42" s="82">
        <f t="shared" si="0"/>
        <v>0</v>
      </c>
    </row>
    <row r="43" spans="1:35" ht="24.75" customHeight="1" x14ac:dyDescent="0.15">
      <c r="A43" s="182"/>
      <c r="B43" s="182"/>
      <c r="C43" s="182"/>
      <c r="D43" s="185">
        <v>33</v>
      </c>
      <c r="E43" s="182"/>
      <c r="F43" s="50" t="s">
        <v>1339</v>
      </c>
      <c r="G43" s="50" t="s">
        <v>1292</v>
      </c>
      <c r="H43" s="133" t="s">
        <v>614</v>
      </c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B43" s="31" t="s">
        <v>1161</v>
      </c>
      <c r="AC43" s="40" t="s">
        <v>1340</v>
      </c>
      <c r="AD43" s="31" t="s">
        <v>1294</v>
      </c>
      <c r="AE43" s="78">
        <v>8.0750000000000002E-2</v>
      </c>
      <c r="AF43" s="612"/>
      <c r="AH43" s="82">
        <f t="shared" si="0"/>
        <v>1</v>
      </c>
      <c r="AI43" s="82">
        <f t="shared" si="0"/>
        <v>0</v>
      </c>
    </row>
    <row r="44" spans="1:35" ht="24.75" customHeight="1" x14ac:dyDescent="0.15">
      <c r="A44" s="182"/>
      <c r="B44" s="182"/>
      <c r="C44" s="182"/>
      <c r="D44" s="185">
        <v>33</v>
      </c>
      <c r="E44" s="182"/>
      <c r="F44" s="50" t="s">
        <v>1341</v>
      </c>
      <c r="G44" s="50" t="s">
        <v>1292</v>
      </c>
      <c r="H44" s="133" t="s">
        <v>614</v>
      </c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B44" s="31" t="s">
        <v>1163</v>
      </c>
      <c r="AC44" s="40" t="s">
        <v>1342</v>
      </c>
      <c r="AD44" s="31" t="s">
        <v>1294</v>
      </c>
      <c r="AE44" s="78">
        <v>5.7629999999999999</v>
      </c>
      <c r="AF44" s="612"/>
      <c r="AH44" s="82">
        <f t="shared" si="0"/>
        <v>1</v>
      </c>
      <c r="AI44" s="82">
        <f t="shared" si="0"/>
        <v>0</v>
      </c>
    </row>
    <row r="45" spans="1:35" ht="36" customHeight="1" x14ac:dyDescent="0.15">
      <c r="A45" s="182"/>
      <c r="B45" s="182"/>
      <c r="C45" s="182"/>
      <c r="D45" s="185">
        <v>48</v>
      </c>
      <c r="E45" s="182"/>
      <c r="F45" s="50" t="s">
        <v>1343</v>
      </c>
      <c r="G45" s="50" t="s">
        <v>1292</v>
      </c>
      <c r="H45" s="133" t="s">
        <v>614</v>
      </c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B45" s="31" t="s">
        <v>1344</v>
      </c>
      <c r="AC45" s="40" t="s">
        <v>1345</v>
      </c>
      <c r="AD45" s="31" t="s">
        <v>1298</v>
      </c>
      <c r="AE45" s="78">
        <v>0.99282999999999999</v>
      </c>
      <c r="AF45" s="612"/>
      <c r="AH45" s="82">
        <f t="shared" si="0"/>
        <v>1</v>
      </c>
      <c r="AI45" s="82">
        <f t="shared" si="0"/>
        <v>0</v>
      </c>
    </row>
    <row r="46" spans="1:35" ht="36" customHeight="1" x14ac:dyDescent="0.15">
      <c r="A46" s="182"/>
      <c r="B46" s="182"/>
      <c r="C46" s="182"/>
      <c r="D46" s="185">
        <v>48</v>
      </c>
      <c r="E46" s="182"/>
      <c r="F46" s="50" t="s">
        <v>1346</v>
      </c>
      <c r="G46" s="50" t="s">
        <v>1292</v>
      </c>
      <c r="H46" s="133" t="s">
        <v>614</v>
      </c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B46" s="31" t="s">
        <v>1347</v>
      </c>
      <c r="AC46" s="40" t="s">
        <v>1348</v>
      </c>
      <c r="AD46" s="31" t="s">
        <v>1298</v>
      </c>
      <c r="AE46" s="611">
        <v>0.99282999999999999</v>
      </c>
      <c r="AF46" s="612"/>
      <c r="AH46" s="82">
        <f t="shared" si="0"/>
        <v>1</v>
      </c>
      <c r="AI46" s="82">
        <f t="shared" si="0"/>
        <v>0</v>
      </c>
    </row>
    <row r="47" spans="1:35" ht="36" customHeight="1" x14ac:dyDescent="0.15">
      <c r="A47" s="182"/>
      <c r="B47" s="182"/>
      <c r="C47" s="182"/>
      <c r="D47" s="185">
        <v>48</v>
      </c>
      <c r="E47" s="182"/>
      <c r="F47" s="50" t="s">
        <v>1349</v>
      </c>
      <c r="G47" s="50" t="s">
        <v>1292</v>
      </c>
      <c r="H47" s="133" t="s">
        <v>614</v>
      </c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B47" s="31" t="s">
        <v>1350</v>
      </c>
      <c r="AC47" s="40" t="s">
        <v>1351</v>
      </c>
      <c r="AD47" s="31" t="s">
        <v>1298</v>
      </c>
      <c r="AE47" s="78">
        <v>0.77324999999999999</v>
      </c>
      <c r="AF47" s="612"/>
      <c r="AH47" s="82">
        <f t="shared" si="0"/>
        <v>1</v>
      </c>
      <c r="AI47" s="82">
        <f t="shared" si="0"/>
        <v>0</v>
      </c>
    </row>
    <row r="48" spans="1:35" ht="36" customHeight="1" x14ac:dyDescent="0.15">
      <c r="A48" s="182"/>
      <c r="B48" s="182"/>
      <c r="C48" s="182"/>
      <c r="D48" s="185">
        <v>48</v>
      </c>
      <c r="E48" s="182"/>
      <c r="F48" s="50" t="s">
        <v>1352</v>
      </c>
      <c r="G48" s="50" t="s">
        <v>1292</v>
      </c>
      <c r="H48" s="133" t="s">
        <v>614</v>
      </c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B48" s="31" t="s">
        <v>1353</v>
      </c>
      <c r="AC48" s="40" t="s">
        <v>1354</v>
      </c>
      <c r="AD48" s="31" t="s">
        <v>1298</v>
      </c>
      <c r="AE48" s="611">
        <v>0.77324999999999999</v>
      </c>
      <c r="AF48" s="612"/>
      <c r="AH48" s="82">
        <f t="shared" si="0"/>
        <v>1</v>
      </c>
      <c r="AI48" s="82">
        <f t="shared" si="0"/>
        <v>0</v>
      </c>
    </row>
    <row r="49" spans="1:33" ht="24" customHeight="1" x14ac:dyDescent="0.15">
      <c r="A49" s="182"/>
      <c r="B49" s="182"/>
      <c r="C49" s="182"/>
      <c r="D49" s="185">
        <v>32</v>
      </c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B49" s="31">
        <v>13</v>
      </c>
      <c r="AC49" s="40" t="s">
        <v>1299</v>
      </c>
      <c r="AD49" s="31" t="s">
        <v>1300</v>
      </c>
      <c r="AE49" s="125"/>
      <c r="AF49" s="125"/>
    </row>
    <row r="50" spans="1:33" ht="24" customHeight="1" x14ac:dyDescent="0.15">
      <c r="A50" s="182"/>
      <c r="B50" s="182"/>
      <c r="C50" s="182"/>
      <c r="D50" s="185">
        <v>32</v>
      </c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B50" s="31">
        <v>14</v>
      </c>
      <c r="AC50" s="40" t="s">
        <v>1301</v>
      </c>
      <c r="AD50" s="31" t="s">
        <v>1300</v>
      </c>
      <c r="AE50" s="37">
        <f>IFERROR(SUM(AE51:AE54)/SUM(AH41:AH44),0)</f>
        <v>1</v>
      </c>
      <c r="AF50" s="37">
        <f>IFERROR(ё,0)</f>
        <v>0</v>
      </c>
      <c r="AG50" s="617"/>
    </row>
    <row r="51" spans="1:33" ht="30" customHeight="1" x14ac:dyDescent="0.15">
      <c r="A51" s="182"/>
      <c r="B51" s="182"/>
      <c r="C51" s="182"/>
      <c r="D51" s="185">
        <v>40</v>
      </c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B51" s="31" t="s">
        <v>1355</v>
      </c>
      <c r="AC51" s="40" t="s">
        <v>1356</v>
      </c>
      <c r="AD51" s="31" t="s">
        <v>1300</v>
      </c>
      <c r="AE51" s="37">
        <f>IF(AND(AE27="-",AE41=0),0,IF(AE27&gt;AE41*(1+$AE$72),-1,IF(AE27&lt;=AE41*(1-$AE$71),1,0)))</f>
        <v>1</v>
      </c>
      <c r="AF51" s="37">
        <f>IF(AND(AF27="-",AF41=0),0,IF(AF27&gt;AF41*(1+$AG$72),-1,IF(AF27&lt;=AF41*(1-$AG$71),1,0)))</f>
        <v>1</v>
      </c>
    </row>
    <row r="52" spans="1:33" ht="30" customHeight="1" x14ac:dyDescent="0.15">
      <c r="A52" s="182"/>
      <c r="B52" s="182"/>
      <c r="C52" s="182"/>
      <c r="D52" s="185">
        <v>40</v>
      </c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B52" s="31" t="s">
        <v>1357</v>
      </c>
      <c r="AC52" s="40" t="s">
        <v>1358</v>
      </c>
      <c r="AD52" s="31" t="s">
        <v>1300</v>
      </c>
      <c r="AE52" s="37">
        <f>IF(AND(AE28="-",AE42=0),0,IF(AE28&gt;AE42*(1+$AE$72),-1,IF(AE28&lt;=AE42*(1-$AE$71),1,0)))</f>
        <v>1</v>
      </c>
      <c r="AF52" s="37">
        <f>IF(AND(AF28="-",AF42=0),0,IF(AF28&gt;AF42*(1+$AG$72),-1,IF(AF28&lt;=AF42*(1-$AG$71),1,0)))</f>
        <v>1</v>
      </c>
    </row>
    <row r="53" spans="1:33" ht="30" customHeight="1" x14ac:dyDescent="0.15">
      <c r="A53" s="182"/>
      <c r="B53" s="182"/>
      <c r="C53" s="182"/>
      <c r="D53" s="185">
        <v>40</v>
      </c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B53" s="31" t="s">
        <v>1359</v>
      </c>
      <c r="AC53" s="40" t="s">
        <v>1360</v>
      </c>
      <c r="AD53" s="31" t="s">
        <v>1300</v>
      </c>
      <c r="AE53" s="37">
        <f>IF(AND(AE29="-",AE43=0),0,IF(AE29&gt;AE43*(1+$AE$72),-1,IF(AE29&lt;=AE43*(1-$AE$71),1,0)))</f>
        <v>0</v>
      </c>
      <c r="AF53" s="37">
        <f>IF(AND(AF29="-",AF43=0),0,IF(AF29&gt;AF43*(1+$AG$72),-1,IF(AF29&lt;=AF43*(1-$AG$71),1,0)))</f>
        <v>-1</v>
      </c>
    </row>
    <row r="54" spans="1:33" ht="30" customHeight="1" x14ac:dyDescent="0.15">
      <c r="A54" s="182"/>
      <c r="B54" s="182"/>
      <c r="C54" s="182"/>
      <c r="D54" s="185">
        <v>40</v>
      </c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B54" s="31" t="s">
        <v>1361</v>
      </c>
      <c r="AC54" s="40" t="s">
        <v>1362</v>
      </c>
      <c r="AD54" s="31" t="s">
        <v>1300</v>
      </c>
      <c r="AE54" s="37">
        <f>IF(AND(AE30="-",AE44=0),0,IF(AE30&gt;AE44*(1+$AE$72),-1,IF(AE30&lt;=AE44*(1-$AE$71),1,0)))</f>
        <v>1</v>
      </c>
      <c r="AF54" s="37">
        <f>IF(AND(AF30="-",AF44=0),0,IF(AF30&gt;AF44*(1+$AG$72),-1,IF(AF30&lt;=AF44*(1-$AG$71),1,0)))</f>
        <v>1</v>
      </c>
    </row>
    <row r="55" spans="1:33" ht="24" customHeight="1" x14ac:dyDescent="0.15">
      <c r="A55" s="182"/>
      <c r="B55" s="182"/>
      <c r="C55" s="182"/>
      <c r="D55" s="185">
        <v>32</v>
      </c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B55" s="31">
        <v>15</v>
      </c>
      <c r="AC55" s="40" t="s">
        <v>1302</v>
      </c>
      <c r="AD55" s="31" t="s">
        <v>1300</v>
      </c>
      <c r="AE55" s="37">
        <f>IFERROR(SUM(AE56:AE59)/SUM(AH45:AH48),0)</f>
        <v>1</v>
      </c>
      <c r="AF55" s="37">
        <f>IFERROR(SUM(AF56:AF59)/SUM(AI45:AI48),0)</f>
        <v>0</v>
      </c>
    </row>
    <row r="56" spans="1:33" ht="30" customHeight="1" x14ac:dyDescent="0.15">
      <c r="A56" s="182"/>
      <c r="B56" s="182"/>
      <c r="C56" s="182"/>
      <c r="D56" s="185">
        <v>40</v>
      </c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B56" s="31" t="s">
        <v>1363</v>
      </c>
      <c r="AC56" s="40" t="s">
        <v>1364</v>
      </c>
      <c r="AD56" s="31" t="s">
        <v>1300</v>
      </c>
      <c r="AE56" s="37">
        <f>IF(AND(AE31="-",AE45=0),0,IF(AE31&gt;AE45*(1+$AE$72),-1,IF(AE31&lt;=AE45*(1-$AE$71),1,0)))</f>
        <v>1</v>
      </c>
      <c r="AF56" s="37">
        <f>IF(AND(AF31="-",AF45=0),0,IF(AF31&gt;AF45*(1+$AG$72),-1,IF(AF31&lt;=AF45*(1-$AG$71),1,0)))</f>
        <v>1</v>
      </c>
    </row>
    <row r="57" spans="1:33" ht="30" customHeight="1" x14ac:dyDescent="0.15">
      <c r="A57" s="182"/>
      <c r="B57" s="182"/>
      <c r="C57" s="182"/>
      <c r="D57" s="185">
        <v>40</v>
      </c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B57" s="31" t="s">
        <v>1365</v>
      </c>
      <c r="AC57" s="40" t="s">
        <v>1366</v>
      </c>
      <c r="AD57" s="31" t="s">
        <v>1300</v>
      </c>
      <c r="AE57" s="37">
        <f>IF(AND(AE32="-",AE46=0),0,IF(AE32&gt;AE46*(1+$AE$72),-1,IF(AE32&lt;=AE46*(1-$AE$71),1,0)))</f>
        <v>1</v>
      </c>
      <c r="AF57" s="37">
        <f>IF(AND(AF32="-",AF46=0),0,IF(AF32&gt;AF46*(1+$AG$72),-1,IF(AF32&lt;=AF46*(1-$AG$71),1,0)))</f>
        <v>1</v>
      </c>
    </row>
    <row r="58" spans="1:33" ht="30" customHeight="1" x14ac:dyDescent="0.15">
      <c r="A58" s="182"/>
      <c r="B58" s="182"/>
      <c r="C58" s="182"/>
      <c r="D58" s="185">
        <v>40</v>
      </c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B58" s="31" t="s">
        <v>1367</v>
      </c>
      <c r="AC58" s="40" t="s">
        <v>1368</v>
      </c>
      <c r="AD58" s="31" t="s">
        <v>1300</v>
      </c>
      <c r="AE58" s="37">
        <f>IF(AND(AE33="-",AE47=0),0,IF(AE33&gt;AE47*(1+$AE$72),-1,IF(AE33&lt;=AE47*(1-$AE$71),1,0)))</f>
        <v>1</v>
      </c>
      <c r="AF58" s="37">
        <f>IF(AND(AF33="-",AF47=0),0,IF(AF33&gt;AF47*(1+$AG$72),-1,IF(AF33&lt;=AF47*(1-$AG$71),1,0)))</f>
        <v>-1</v>
      </c>
    </row>
    <row r="59" spans="1:33" ht="30" customHeight="1" x14ac:dyDescent="0.15">
      <c r="A59" s="182"/>
      <c r="B59" s="182"/>
      <c r="C59" s="182"/>
      <c r="D59" s="185">
        <v>40</v>
      </c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B59" s="31" t="s">
        <v>1369</v>
      </c>
      <c r="AC59" s="40" t="s">
        <v>1370</v>
      </c>
      <c r="AD59" s="31" t="s">
        <v>1300</v>
      </c>
      <c r="AE59" s="37">
        <f>IF(AND(AE34="-",AE48=0),0,IF(AE34&gt;AE48*(1+$AE$72),-1,IF(AE34&lt;=AE48*(1-$AE$71),1,0)))</f>
        <v>1</v>
      </c>
      <c r="AF59" s="37">
        <f>IF(AND(AF34="-",AF48=0),0,IF(AF34&gt;AF48*(1+$AG$72),-1,IF(AF34&lt;=AF48*(1-$AG$71),1,0)))</f>
        <v>1</v>
      </c>
    </row>
    <row r="60" spans="1:33" ht="42.75" customHeight="1" x14ac:dyDescent="0.15">
      <c r="A60" s="182"/>
      <c r="B60" s="182"/>
      <c r="C60" s="182"/>
      <c r="D60" s="185">
        <v>57</v>
      </c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B60" s="31">
        <v>16</v>
      </c>
      <c r="AC60" s="40" t="s">
        <v>1303</v>
      </c>
      <c r="AD60" s="31" t="s">
        <v>1300</v>
      </c>
      <c r="AE60" s="125"/>
      <c r="AF60" s="125"/>
    </row>
    <row r="61" spans="1:33" ht="27" customHeight="1" x14ac:dyDescent="0.15">
      <c r="A61" s="182"/>
      <c r="B61" s="182"/>
      <c r="C61" s="182"/>
      <c r="D61" s="185">
        <v>36</v>
      </c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B61" s="31">
        <v>17</v>
      </c>
      <c r="AC61" s="40" t="s">
        <v>1304</v>
      </c>
      <c r="AD61" s="31" t="s">
        <v>1300</v>
      </c>
      <c r="AE61" s="37">
        <f>IF(AE35&gt;=AE38*(1+AE87),-1,IF(AE35&lt;=AE38*(1-AE87),1,0))</f>
        <v>0</v>
      </c>
      <c r="AF61" s="37">
        <f>IF(AF35&gt;=AF38*(1+AG87),-1,IF(AF35&lt;=AF38*(1-AG87),1,0))</f>
        <v>-1</v>
      </c>
    </row>
    <row r="62" spans="1:33" ht="27" customHeight="1" x14ac:dyDescent="0.15">
      <c r="A62" s="182"/>
      <c r="B62" s="182"/>
      <c r="C62" s="182"/>
      <c r="D62" s="185">
        <v>36</v>
      </c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B62" s="31">
        <v>18</v>
      </c>
      <c r="AC62" s="40" t="s">
        <v>1305</v>
      </c>
      <c r="AD62" s="31" t="s">
        <v>1300</v>
      </c>
      <c r="AE62" s="125"/>
      <c r="AF62" s="125"/>
    </row>
    <row r="63" spans="1:33" ht="27" customHeight="1" x14ac:dyDescent="0.15">
      <c r="A63" s="182"/>
      <c r="B63" s="182"/>
      <c r="C63" s="182"/>
      <c r="D63" s="185">
        <v>36</v>
      </c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B63" s="31">
        <v>19</v>
      </c>
      <c r="AC63" s="40" t="s">
        <v>1306</v>
      </c>
      <c r="AD63" s="31" t="s">
        <v>1300</v>
      </c>
      <c r="AE63" s="79">
        <v>0</v>
      </c>
      <c r="AF63" s="613"/>
    </row>
    <row r="64" spans="1:33" ht="12" customHeight="1" x14ac:dyDescent="0.15">
      <c r="A64" s="182"/>
      <c r="B64" s="182"/>
      <c r="C64" s="182"/>
      <c r="D64" s="185">
        <v>16</v>
      </c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</row>
    <row r="65" spans="1:33" ht="47.25" customHeight="1" x14ac:dyDescent="0.15">
      <c r="A65" s="182"/>
      <c r="B65" s="182"/>
      <c r="C65" s="182"/>
      <c r="D65" s="185">
        <v>63</v>
      </c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C65" s="18" t="str">
        <f>IF(LEN(ruk_dol)=0,"",ruk_dol)</f>
        <v>Генеральный директор</v>
      </c>
      <c r="AD65" s="74" t="str">
        <f>IF(LEN(ruk_FIO)=0,"",ruk_FIO)</f>
        <v>Шохин Александр Ефимович</v>
      </c>
    </row>
    <row r="66" spans="1:33" ht="12" customHeight="1" x14ac:dyDescent="0.15">
      <c r="A66" s="182"/>
      <c r="B66" s="182"/>
      <c r="C66" s="182"/>
      <c r="D66" s="185">
        <v>16</v>
      </c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C66" s="49" t="s">
        <v>652</v>
      </c>
      <c r="AD66" s="52" t="s">
        <v>757</v>
      </c>
      <c r="AE66" s="49" t="s">
        <v>758</v>
      </c>
      <c r="AF66" s="49" t="s">
        <v>758</v>
      </c>
    </row>
    <row r="67" spans="1:33" ht="12" customHeight="1" x14ac:dyDescent="0.15">
      <c r="A67" s="182"/>
      <c r="B67" s="182"/>
      <c r="C67" s="182"/>
      <c r="D67" s="185">
        <v>16</v>
      </c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</row>
    <row r="68" spans="1:33" ht="11.25" hidden="1" customHeight="1" x14ac:dyDescent="0.15">
      <c r="A68" s="182"/>
      <c r="B68" s="182"/>
      <c r="C68" s="182"/>
      <c r="D68" s="185">
        <v>0</v>
      </c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</row>
    <row r="69" spans="1:33" ht="11.25" hidden="1" customHeight="1" x14ac:dyDescent="0.15">
      <c r="A69" s="182"/>
      <c r="B69" s="182"/>
      <c r="C69" s="182"/>
      <c r="D69" s="185">
        <v>0</v>
      </c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</row>
    <row r="70" spans="1:33" ht="21.75" customHeight="1" x14ac:dyDescent="0.15">
      <c r="A70" s="182"/>
      <c r="B70" s="182"/>
      <c r="C70" s="182"/>
      <c r="D70" s="185">
        <v>29</v>
      </c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B70" s="31" t="s">
        <v>687</v>
      </c>
      <c r="AC70" s="72" t="s">
        <v>1307</v>
      </c>
      <c r="AD70" s="31" t="str">
        <f>IF(PRD="","Не определено",PRD-1)&amp;" год"</f>
        <v>2024 год</v>
      </c>
      <c r="AE70" s="83" t="str">
        <f>IF(PRD="","Не определено",PRD)&amp;" год"</f>
        <v>2025 год</v>
      </c>
      <c r="AF70" s="127" t="str">
        <f>IF(PRD="","Не определено",PRD-1)&amp;" год"</f>
        <v>2024 год</v>
      </c>
      <c r="AG70" s="127" t="str">
        <f>IF(PRD="","Не определено",PRD)&amp;" год"</f>
        <v>2025 год</v>
      </c>
    </row>
    <row r="71" spans="1:33" ht="15.75" customHeight="1" x14ac:dyDescent="0.15">
      <c r="A71" s="182"/>
      <c r="B71" s="182"/>
      <c r="C71" s="182"/>
      <c r="D71" s="185">
        <v>21</v>
      </c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B71" s="75">
        <v>1</v>
      </c>
      <c r="AC71" s="70" t="s">
        <v>1308</v>
      </c>
      <c r="AD71" s="125"/>
      <c r="AE71" s="62">
        <f>IF(AND(AE73="да",PRD-FIRST_PERIOD_IN_LT+1&lt;=3),0.35,IF(AND(AE73="да",PRD-FIRST_PERIOD_IN_LT+1=4,AD82&gt;35%),0.3,IF(AND(AE73="да",PRD-FIRST_PERIOD_IN_LT+1=4,AD82&lt;35%),0.35,IF(AND(AD82&gt;35%,AD79=0.35),0.3,IF(AD82&gt;35%,MAX(AD79-0.01,0.25),AD79)))))</f>
        <v>0.35</v>
      </c>
      <c r="AF71" s="125"/>
      <c r="AG71" s="62">
        <f>IF(AND(AG73="да",PRD-FIRST_PERIOD_IN_LT+1&lt;=3),0.35,IF(AND(AG73="да",PRD-FIRST_PERIOD_IN_LT+1=4,AF82&gt;35%),0.3,IF(AND(AG73="да",PRD-FIRST_PERIOD_IN_LT+1=4,AF82&lt;35%),0.35,IF(AND(AF82&gt;35%,AF79=0.35),0.3,IF(AF82&gt;35%,MAX(AF79-0.01,0.25),AF79)))))</f>
        <v>0.35</v>
      </c>
    </row>
    <row r="72" spans="1:33" ht="15.75" customHeight="1" x14ac:dyDescent="0.15">
      <c r="A72" s="182"/>
      <c r="B72" s="182"/>
      <c r="C72" s="182"/>
      <c r="D72" s="185">
        <v>21</v>
      </c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B72" s="75">
        <v>2</v>
      </c>
      <c r="AC72" s="70" t="s">
        <v>1309</v>
      </c>
      <c r="AD72" s="125"/>
      <c r="AE72" s="62">
        <f>IF(AND(AE73="да",PRD-FIRST_PERIOD_IN_LT+1&lt;=3),0.35,IF(AND(AE73="да",PRD-FIRST_PERIOD_IN_LT+1=4,AD86&gt;35%),0.3,IF(AND(AE73="да",PRD-FIRST_PERIOD_IN_LT+1=4,AD86&lt;35%),0.35,IF(AND(AD86&gt;35%,AD83=0.35),0.3,IF(AD86&gt;35%,MAX(AD83-0.01,0.25),AD83)))))</f>
        <v>0.35</v>
      </c>
      <c r="AF72" s="125"/>
      <c r="AG72" s="62">
        <f>IF(AND(AG73="да",PRD-FIRST_PERIOD_IN_LT+1&lt;=3),0.35,IF(AND(AG73="да",PRD-FIRST_PERIOD_IN_LT+1=4,AF86&gt;35%),0.3,IF(AND(AG73="да",PRD-FIRST_PERIOD_IN_LT+1=4,AF86&lt;35%),0.35,IF(AND(AF86&gt;35%,AF83=0.35),0.3,IF(AF86&gt;35%,MAX(AF83-0.01,0.25),AF83)))))</f>
        <v>0.35</v>
      </c>
    </row>
    <row r="73" spans="1:33" ht="27" customHeight="1" x14ac:dyDescent="0.15">
      <c r="A73" s="182"/>
      <c r="B73" s="182"/>
      <c r="C73" s="182"/>
      <c r="D73" s="185">
        <v>36</v>
      </c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B73" s="75">
        <v>3</v>
      </c>
      <c r="AC73" s="70" t="s">
        <v>1310</v>
      </c>
      <c r="AD73" s="125"/>
      <c r="AE73" s="132" t="str">
        <f>FIRST_PERIOD_INDEX</f>
        <v>да</v>
      </c>
      <c r="AF73" s="125"/>
      <c r="AG73" s="132" t="str">
        <f>FIRST_PERIOD_INDEX</f>
        <v>да</v>
      </c>
    </row>
    <row r="74" spans="1:33" ht="15.75" customHeight="1" x14ac:dyDescent="0.15">
      <c r="A74" s="182"/>
      <c r="B74" s="182"/>
      <c r="C74" s="182"/>
      <c r="D74" s="185">
        <v>21</v>
      </c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B74" s="75">
        <v>4</v>
      </c>
      <c r="AC74" s="70" t="s">
        <v>1311</v>
      </c>
      <c r="AD74" s="125"/>
      <c r="AE74" s="43">
        <v>5</v>
      </c>
      <c r="AF74" s="125"/>
      <c r="AG74" s="307"/>
    </row>
    <row r="75" spans="1:33" ht="15.75" customHeight="1" x14ac:dyDescent="0.15">
      <c r="A75" s="182"/>
      <c r="B75" s="182"/>
      <c r="C75" s="182"/>
      <c r="D75" s="185">
        <v>21</v>
      </c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B75" s="75">
        <v>5</v>
      </c>
      <c r="AC75" s="70" t="s">
        <v>1312</v>
      </c>
      <c r="AD75" s="53">
        <v>0.25</v>
      </c>
      <c r="AE75" s="125"/>
      <c r="AF75" s="614"/>
      <c r="AG75" s="125"/>
    </row>
    <row r="76" spans="1:33" ht="15.75" customHeight="1" x14ac:dyDescent="0.15">
      <c r="A76" s="182"/>
      <c r="B76" s="182"/>
      <c r="C76" s="182"/>
      <c r="D76" s="185">
        <v>21</v>
      </c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B76" s="75">
        <v>6</v>
      </c>
      <c r="AC76" s="70" t="s">
        <v>1313</v>
      </c>
      <c r="AD76" s="62">
        <f>AE38</f>
        <v>1</v>
      </c>
      <c r="AE76" s="125"/>
      <c r="AF76" s="62">
        <f>AF38</f>
        <v>0</v>
      </c>
      <c r="AG76" s="125"/>
    </row>
    <row r="77" spans="1:33" ht="15.75" customHeight="1" x14ac:dyDescent="0.15">
      <c r="A77" s="182"/>
      <c r="B77" s="182"/>
      <c r="C77" s="182"/>
      <c r="D77" s="185">
        <v>21</v>
      </c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B77" s="75">
        <v>7</v>
      </c>
      <c r="AC77" s="70" t="s">
        <v>1314</v>
      </c>
      <c r="AD77" s="62">
        <f>'Ф.3.1Ф3.2 ПоказТехприс (Птпр)'!AE42</f>
        <v>1</v>
      </c>
      <c r="AE77" s="125"/>
      <c r="AF77" s="62">
        <f>'Ф.3.1Ф3.2 ПоказТехприс (Птпр)'!AF42</f>
        <v>1</v>
      </c>
      <c r="AG77" s="125"/>
    </row>
    <row r="78" spans="1:33" ht="15.75" customHeight="1" x14ac:dyDescent="0.15">
      <c r="A78" s="182"/>
      <c r="B78" s="182"/>
      <c r="C78" s="182"/>
      <c r="D78" s="185">
        <v>21</v>
      </c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B78" s="75">
        <v>8</v>
      </c>
      <c r="AC78" s="70" t="s">
        <v>1315</v>
      </c>
      <c r="AD78" s="80">
        <f>IF(AD76=0,0,IF(AD77/AD76&lt;1,0,1))</f>
        <v>1</v>
      </c>
      <c r="AE78" s="125"/>
      <c r="AF78" s="80">
        <f>IF(AF76=0,0,IF(AF77/AF76&lt;1,0,1))</f>
        <v>0</v>
      </c>
      <c r="AG78" s="125"/>
    </row>
    <row r="79" spans="1:33" ht="15.75" customHeight="1" x14ac:dyDescent="0.15">
      <c r="A79" s="182"/>
      <c r="B79" s="182"/>
      <c r="C79" s="182"/>
      <c r="D79" s="185">
        <v>21</v>
      </c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B79" s="75">
        <v>9</v>
      </c>
      <c r="AC79" s="70" t="s">
        <v>1316</v>
      </c>
      <c r="AD79" s="53">
        <v>0.3</v>
      </c>
      <c r="AE79" s="125"/>
      <c r="AF79" s="614"/>
      <c r="AG79" s="125"/>
    </row>
    <row r="80" spans="1:33" ht="12" customHeight="1" x14ac:dyDescent="0.15">
      <c r="A80" s="182"/>
      <c r="B80" s="182"/>
      <c r="C80" s="182"/>
      <c r="D80" s="185">
        <v>16</v>
      </c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B80" s="75">
        <v>10</v>
      </c>
      <c r="AC80" s="70" t="s">
        <v>1317</v>
      </c>
      <c r="AD80" s="62">
        <v>5.2350000000000001E-2</v>
      </c>
      <c r="AE80" s="125"/>
      <c r="AF80" s="62">
        <f>AF41</f>
        <v>0</v>
      </c>
      <c r="AG80" s="125"/>
    </row>
    <row r="81" spans="1:36" ht="12" customHeight="1" x14ac:dyDescent="0.15">
      <c r="A81" s="182"/>
      <c r="B81" s="182"/>
      <c r="C81" s="182"/>
      <c r="D81" s="185">
        <v>16</v>
      </c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B81" s="75">
        <v>11</v>
      </c>
      <c r="AC81" s="70" t="s">
        <v>1318</v>
      </c>
      <c r="AD81" s="62">
        <v>3.7019999999999997E-2</v>
      </c>
      <c r="AE81" s="125"/>
      <c r="AF81" s="62">
        <f>AF27</f>
        <v>0</v>
      </c>
      <c r="AG81" s="125"/>
    </row>
    <row r="82" spans="1:36" ht="12" customHeight="1" x14ac:dyDescent="0.15">
      <c r="A82" s="182"/>
      <c r="B82" s="182"/>
      <c r="C82" s="182"/>
      <c r="D82" s="185">
        <v>16</v>
      </c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B82" s="75">
        <v>12</v>
      </c>
      <c r="AC82" s="70" t="s">
        <v>1319</v>
      </c>
      <c r="AD82" s="81">
        <f>IF(AD80=0,0,AD81/AD80-1)</f>
        <v>-0.2928366762177651</v>
      </c>
      <c r="AE82" s="125"/>
      <c r="AF82" s="81">
        <f>IF(AF80=0,0,AF81/AF80-1)</f>
        <v>0</v>
      </c>
      <c r="AG82" s="125"/>
    </row>
    <row r="83" spans="1:36" ht="12" customHeight="1" x14ac:dyDescent="0.15">
      <c r="A83" s="182"/>
      <c r="B83" s="182"/>
      <c r="C83" s="182"/>
      <c r="D83" s="185">
        <v>16</v>
      </c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B83" s="75">
        <v>13</v>
      </c>
      <c r="AC83" s="70" t="s">
        <v>1320</v>
      </c>
      <c r="AD83" s="53">
        <v>0.3</v>
      </c>
      <c r="AE83" s="125"/>
      <c r="AF83" s="614"/>
      <c r="AG83" s="125"/>
    </row>
    <row r="84" spans="1:36" ht="12" customHeight="1" x14ac:dyDescent="0.15">
      <c r="A84" s="182"/>
      <c r="B84" s="182"/>
      <c r="C84" s="182"/>
      <c r="D84" s="185">
        <v>16</v>
      </c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B84" s="75">
        <v>14</v>
      </c>
      <c r="AC84" s="70" t="s">
        <v>1321</v>
      </c>
      <c r="AD84" s="62">
        <v>2.0289999999999999E-2</v>
      </c>
      <c r="AE84" s="125"/>
      <c r="AF84" s="62">
        <f>AF45</f>
        <v>0</v>
      </c>
      <c r="AG84" s="125"/>
    </row>
    <row r="85" spans="1:36" ht="12" customHeight="1" x14ac:dyDescent="0.15">
      <c r="A85" s="182"/>
      <c r="B85" s="182"/>
      <c r="C85" s="182"/>
      <c r="D85" s="185">
        <v>16</v>
      </c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B85" s="75">
        <v>15</v>
      </c>
      <c r="AC85" s="70" t="s">
        <v>1322</v>
      </c>
      <c r="AD85" s="62">
        <v>2.5659999999999999E-2</v>
      </c>
      <c r="AE85" s="125"/>
      <c r="AF85" s="62">
        <f>AF31</f>
        <v>0</v>
      </c>
      <c r="AG85" s="125"/>
    </row>
    <row r="86" spans="1:36" ht="12" customHeight="1" x14ac:dyDescent="0.15">
      <c r="A86" s="182"/>
      <c r="B86" s="182"/>
      <c r="C86" s="182"/>
      <c r="D86" s="185">
        <v>16</v>
      </c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B86" s="75">
        <v>16</v>
      </c>
      <c r="AC86" s="70" t="s">
        <v>1323</v>
      </c>
      <c r="AD86" s="81">
        <f>IF(AD84=0,0,AD85/AD84-1)</f>
        <v>0.26466239526860513</v>
      </c>
      <c r="AE86" s="125"/>
      <c r="AF86" s="81">
        <f>IF(AF84=0,0,AF85/AF84-1)</f>
        <v>0</v>
      </c>
      <c r="AG86" s="125"/>
    </row>
    <row r="87" spans="1:36" ht="12" customHeight="1" x14ac:dyDescent="0.15">
      <c r="A87" s="182"/>
      <c r="B87" s="182"/>
      <c r="C87" s="182"/>
      <c r="D87" s="185">
        <v>16</v>
      </c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B87" s="75">
        <v>17</v>
      </c>
      <c r="AC87" s="70" t="s">
        <v>1324</v>
      </c>
      <c r="AD87" s="125"/>
      <c r="AE87" s="37">
        <f>IF(AND(AE73="да",PRD-FIRST_PERIOD_IN_LT+1&lt;=3),0.35,IF(AND(AE73="да",PRD-FIRST_PERIOD_IN_LT+1=4,AD78=1),0.3,IF(AND(AE73="да",PRD-FIRST_PERIOD_IN_LT+1=4,AD78=0),0.35,IF(AND(AD78=1,AD75=0.35),0.3,IF(AD78=1,MAX(AD75-0.01,0.25),AD75)))))</f>
        <v>0.35</v>
      </c>
      <c r="AF87" s="125"/>
      <c r="AG87" s="37">
        <f>IF(AND(AG73="да",PRD-FIRST_PERIOD_IN_LT+1&lt;=3),0.35,IF(AND(AG73="да",PRD-FIRST_PERIOD_IN_LT+1=4,AF78=1),0.3,IF(AND(AG73="да",PRD-FIRST_PERIOD_IN_LT+1=4,AF78=0),0.35,IF(AND(AF78=1,AF75=0.35),0.3,IF(AF78=1,MAX(AF75-0.01,0.25),AF75)))))</f>
        <v>0.35</v>
      </c>
    </row>
    <row r="88" spans="1:36" ht="11.25" hidden="1" customHeight="1" x14ac:dyDescent="0.15">
      <c r="A88" s="182"/>
      <c r="B88" s="182"/>
      <c r="C88" s="182"/>
      <c r="D88" s="183">
        <v>0</v>
      </c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J88" s="23" t="s">
        <v>71</v>
      </c>
    </row>
  </sheetData>
  <sheetProtection formatColumns="0" formatRows="0" insertRows="0" deleteColumns="0" deleteRows="0" sort="0" autoFilter="0"/>
  <mergeCells count="2">
    <mergeCell ref="AB22:AE22"/>
    <mergeCell ref="AB21:AD21"/>
  </mergeCells>
  <dataValidations count="2">
    <dataValidation type="decimal" allowBlank="1" showErrorMessage="1" errorTitle="Ошибка" error="Допускается ввод только неотрицательных чисел!" sqref="AE38:AF38 AE41:AF48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AG74">
      <formula1>0</formula1>
      <formula2>9.99999999999999E+23</formula2>
    </dataValidation>
  </dataValidation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</sheetPr>
  <dimension ref="A1:AP38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4" style="166" customWidth="1"/>
    <col min="29" max="29" width="72.5703125" style="166" customWidth="1"/>
    <col min="30" max="30" width="14.7109375" style="166" customWidth="1"/>
    <col min="31" max="31" width="14.7109375" style="166" hidden="1" customWidth="1"/>
    <col min="32" max="33" width="8.5703125" style="166" hidden="1" customWidth="1"/>
    <col min="34" max="37" width="15.140625" style="166" hidden="1" customWidth="1"/>
    <col min="38" max="38" width="20.7109375" style="166" hidden="1" customWidth="1"/>
    <col min="39" max="42" width="9.140625" hidden="1"/>
  </cols>
  <sheetData>
    <row r="1" spans="4:39" ht="22.5" hidden="1" customHeight="1" x14ac:dyDescent="0.15"/>
    <row r="2" spans="4:39" ht="12.75" hidden="1" customHeight="1" x14ac:dyDescent="0.15">
      <c r="AE2" s="59" t="b">
        <f t="shared" ref="AE2:AL2" si="0">REPORT_OWNER="Версия регулятора"</f>
        <v>0</v>
      </c>
      <c r="AF2" s="59" t="b">
        <f t="shared" si="0"/>
        <v>0</v>
      </c>
      <c r="AG2" s="59" t="b">
        <f t="shared" si="0"/>
        <v>0</v>
      </c>
      <c r="AH2" s="59" t="b">
        <f t="shared" si="0"/>
        <v>0</v>
      </c>
      <c r="AI2" s="59" t="b">
        <f t="shared" si="0"/>
        <v>0</v>
      </c>
      <c r="AJ2" s="59" t="b">
        <f t="shared" si="0"/>
        <v>0</v>
      </c>
      <c r="AK2" s="59" t="b">
        <f t="shared" si="0"/>
        <v>0</v>
      </c>
      <c r="AL2" s="59" t="b">
        <f t="shared" si="0"/>
        <v>0</v>
      </c>
    </row>
    <row r="3" spans="4:39" ht="11.25" hidden="1" customHeight="1" x14ac:dyDescent="0.15"/>
    <row r="4" spans="4:39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28</v>
      </c>
      <c r="AC4" s="130">
        <v>508</v>
      </c>
      <c r="AD4" s="130">
        <v>103</v>
      </c>
      <c r="AE4" s="130">
        <v>103</v>
      </c>
      <c r="AF4" s="130">
        <v>60</v>
      </c>
      <c r="AG4" s="130">
        <v>60</v>
      </c>
      <c r="AH4" s="130">
        <v>106</v>
      </c>
      <c r="AI4" s="130">
        <v>106</v>
      </c>
      <c r="AJ4" s="130">
        <v>106</v>
      </c>
      <c r="AK4" s="130">
        <v>106</v>
      </c>
      <c r="AL4" s="130">
        <v>145</v>
      </c>
      <c r="AM4" s="131">
        <v>0</v>
      </c>
    </row>
    <row r="5" spans="4:39" ht="26.25" hidden="1" customHeight="1" x14ac:dyDescent="0.15">
      <c r="D5" s="130">
        <v>35</v>
      </c>
    </row>
    <row r="6" spans="4:39" ht="26.25" hidden="1" customHeight="1" x14ac:dyDescent="0.15">
      <c r="D6" s="130">
        <v>35</v>
      </c>
    </row>
    <row r="7" spans="4:39" ht="26.25" hidden="1" customHeight="1" x14ac:dyDescent="0.15">
      <c r="D7" s="130">
        <v>35</v>
      </c>
    </row>
    <row r="8" spans="4:39" ht="26.25" hidden="1" customHeight="1" x14ac:dyDescent="0.15">
      <c r="D8" s="130">
        <v>35</v>
      </c>
    </row>
    <row r="9" spans="4:39" ht="26.25" hidden="1" customHeight="1" x14ac:dyDescent="0.15">
      <c r="D9" s="130">
        <v>35</v>
      </c>
    </row>
    <row r="10" spans="4:39" ht="26.25" hidden="1" customHeight="1" x14ac:dyDescent="0.15">
      <c r="D10" s="130">
        <v>35</v>
      </c>
    </row>
    <row r="11" spans="4:39" ht="26.25" hidden="1" customHeight="1" x14ac:dyDescent="0.15">
      <c r="D11" s="130">
        <v>35</v>
      </c>
    </row>
    <row r="12" spans="4:39" ht="26.25" hidden="1" customHeight="1" x14ac:dyDescent="0.15">
      <c r="D12" s="130">
        <v>35</v>
      </c>
    </row>
    <row r="13" spans="4:39" ht="26.25" hidden="1" customHeight="1" x14ac:dyDescent="0.15">
      <c r="D13" s="130">
        <v>35</v>
      </c>
    </row>
    <row r="14" spans="4:39" ht="26.25" hidden="1" customHeight="1" x14ac:dyDescent="0.15">
      <c r="D14" s="130">
        <v>35</v>
      </c>
    </row>
    <row r="15" spans="4:39" ht="26.25" hidden="1" customHeight="1" x14ac:dyDescent="0.15">
      <c r="D15" s="130">
        <v>35</v>
      </c>
    </row>
    <row r="16" spans="4:39" ht="26.25" hidden="1" customHeight="1" x14ac:dyDescent="0.15">
      <c r="D16" s="130">
        <v>35</v>
      </c>
    </row>
    <row r="17" spans="4:38" ht="26.25" hidden="1" customHeight="1" x14ac:dyDescent="0.15">
      <c r="D17" s="130">
        <v>35</v>
      </c>
    </row>
    <row r="18" spans="4:38" ht="26.25" hidden="1" customHeight="1" x14ac:dyDescent="0.15">
      <c r="D18" s="130">
        <v>35</v>
      </c>
    </row>
    <row r="19" spans="4:38" ht="26.25" hidden="1" customHeight="1" x14ac:dyDescent="0.15">
      <c r="D19" s="130">
        <v>35</v>
      </c>
    </row>
    <row r="20" spans="4:38" ht="15" customHeight="1" x14ac:dyDescent="0.15">
      <c r="D20" s="130">
        <v>20</v>
      </c>
    </row>
    <row r="21" spans="4:38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8" ht="31.5" customHeight="1" x14ac:dyDescent="0.15">
      <c r="D22" s="130">
        <v>42</v>
      </c>
      <c r="AB22" s="663" t="s">
        <v>1371</v>
      </c>
      <c r="AC22" s="663"/>
      <c r="AD22" s="663"/>
    </row>
    <row r="23" spans="4:38" ht="6" customHeight="1" x14ac:dyDescent="0.15">
      <c r="D23" s="130">
        <v>8</v>
      </c>
    </row>
    <row r="24" spans="4:38" ht="27" customHeight="1" x14ac:dyDescent="0.15">
      <c r="D24" s="130">
        <v>36</v>
      </c>
      <c r="AB24" s="31" t="s">
        <v>687</v>
      </c>
      <c r="AC24" s="31" t="s">
        <v>1276</v>
      </c>
      <c r="AD24" s="31" t="str">
        <f>IF(PRD="","Не определено",PRD)&amp;" год"</f>
        <v>2025 год</v>
      </c>
      <c r="AE24" s="61" t="str">
        <f>IF(PRD="","Не определено",PRD)&amp;" год"</f>
        <v>2025 год</v>
      </c>
      <c r="AF24" s="31" t="s">
        <v>1372</v>
      </c>
      <c r="AG24" s="31" t="s">
        <v>1373</v>
      </c>
      <c r="AH24" s="682" t="s">
        <v>1374</v>
      </c>
      <c r="AI24" s="683"/>
      <c r="AJ24" s="683"/>
      <c r="AK24" s="684"/>
      <c r="AL24" s="681" t="s">
        <v>1375</v>
      </c>
    </row>
    <row r="25" spans="4:38" ht="42.75" customHeight="1" x14ac:dyDescent="0.15">
      <c r="D25" s="130">
        <v>57</v>
      </c>
      <c r="AB25" s="31">
        <v>1</v>
      </c>
      <c r="AC25" s="40" t="s">
        <v>1299</v>
      </c>
      <c r="AD25" s="40"/>
      <c r="AE25" s="40"/>
      <c r="AF25" s="32"/>
      <c r="AG25" s="32"/>
      <c r="AH25" s="31" t="s">
        <v>1376</v>
      </c>
      <c r="AI25" s="31" t="s">
        <v>1377</v>
      </c>
      <c r="AJ25" s="31" t="s">
        <v>1378</v>
      </c>
      <c r="AK25" s="31" t="s">
        <v>1379</v>
      </c>
      <c r="AL25" s="674"/>
    </row>
    <row r="26" spans="4:38" ht="15.75" customHeight="1" x14ac:dyDescent="0.15">
      <c r="D26" s="130">
        <v>21</v>
      </c>
      <c r="AB26" s="31">
        <v>2</v>
      </c>
      <c r="AC26" s="40" t="s">
        <v>1301</v>
      </c>
      <c r="AD26" s="37">
        <f>'Форма 4.1 расч.'!AE38</f>
        <v>-1</v>
      </c>
      <c r="AE26" s="37">
        <f>'Форма 4.1 расч.'!AF38</f>
        <v>-1</v>
      </c>
      <c r="AF26" s="244"/>
      <c r="AG26" s="244"/>
      <c r="AH26" s="618"/>
      <c r="AI26" s="619"/>
      <c r="AJ26" s="619"/>
      <c r="AK26" s="619"/>
      <c r="AL26" s="620">
        <f>IF(SUM(AH26:AK26)&gt;0,-1,1)</f>
        <v>1</v>
      </c>
    </row>
    <row r="27" spans="4:38" ht="15.75" customHeight="1" x14ac:dyDescent="0.15">
      <c r="D27" s="130">
        <v>21</v>
      </c>
      <c r="AB27" s="31">
        <f t="shared" ref="AB27:AB34" si="1">AB26+1</f>
        <v>3</v>
      </c>
      <c r="AC27" s="40" t="s">
        <v>1302</v>
      </c>
      <c r="AD27" s="37">
        <f>'Форма 4.1 расч.'!AE39</f>
        <v>-1</v>
      </c>
      <c r="AE27" s="37">
        <f>'Форма 4.1 расч.'!AF39</f>
        <v>-1</v>
      </c>
    </row>
    <row r="28" spans="4:38" ht="15.75" customHeight="1" x14ac:dyDescent="0.15">
      <c r="D28" s="130">
        <v>21</v>
      </c>
      <c r="AB28" s="31">
        <f t="shared" si="1"/>
        <v>4</v>
      </c>
      <c r="AC28" s="40" t="s">
        <v>1380</v>
      </c>
      <c r="AD28" s="40"/>
      <c r="AE28" s="40"/>
    </row>
    <row r="29" spans="4:38" ht="15.75" customHeight="1" x14ac:dyDescent="0.15">
      <c r="D29" s="130">
        <v>21</v>
      </c>
      <c r="AB29" s="31">
        <f t="shared" si="1"/>
        <v>5</v>
      </c>
      <c r="AC29" s="40" t="s">
        <v>1381</v>
      </c>
      <c r="AD29" s="37">
        <f>'Форма 4.1 расч.'!AE41</f>
        <v>-1</v>
      </c>
      <c r="AE29" s="37">
        <f>'Форма 4.1 расч.'!AF41</f>
        <v>-1</v>
      </c>
    </row>
    <row r="30" spans="4:38" ht="15.75" customHeight="1" x14ac:dyDescent="0.15">
      <c r="D30" s="130">
        <v>21</v>
      </c>
      <c r="AB30" s="31">
        <f t="shared" si="1"/>
        <v>6</v>
      </c>
      <c r="AC30" s="40" t="s">
        <v>1382</v>
      </c>
      <c r="AD30" s="40"/>
      <c r="AE30" s="40"/>
    </row>
    <row r="31" spans="4:38" ht="15.75" customHeight="1" x14ac:dyDescent="0.15">
      <c r="D31" s="130">
        <v>21</v>
      </c>
      <c r="AB31" s="31">
        <f t="shared" si="1"/>
        <v>7</v>
      </c>
      <c r="AC31" s="40" t="s">
        <v>1383</v>
      </c>
      <c r="AD31" s="37">
        <f>'Форма 4.1 расч.'!AE43</f>
        <v>0</v>
      </c>
      <c r="AE31" s="37">
        <f>'Форма 4.1 расч.'!AF43</f>
        <v>0</v>
      </c>
    </row>
    <row r="32" spans="4:38" ht="15.75" customHeight="1" x14ac:dyDescent="0.15">
      <c r="D32" s="130">
        <v>21</v>
      </c>
      <c r="AB32" s="31">
        <f t="shared" si="1"/>
        <v>8</v>
      </c>
      <c r="AC32" s="40" t="s">
        <v>1384</v>
      </c>
      <c r="AD32" s="37">
        <f>AD26*0.3+AD27*0.3+AD29*0.3+AD31*0.1</f>
        <v>-0.89999999999999991</v>
      </c>
      <c r="AE32" s="37">
        <f>AE26*0.3+AE27*0.3+AE29*0.3+AE31*0.1</f>
        <v>-0.89999999999999991</v>
      </c>
    </row>
    <row r="33" spans="4:39" ht="15.75" customHeight="1" x14ac:dyDescent="0.15">
      <c r="D33" s="130">
        <v>21</v>
      </c>
      <c r="AB33" s="31">
        <f t="shared" si="1"/>
        <v>9</v>
      </c>
      <c r="AC33" s="40" t="s">
        <v>1385</v>
      </c>
      <c r="AD33" s="41"/>
      <c r="AE33" s="621"/>
    </row>
    <row r="34" spans="4:39" ht="35.25" customHeight="1" x14ac:dyDescent="0.15">
      <c r="D34" s="130">
        <v>47</v>
      </c>
      <c r="AB34" s="31">
        <f t="shared" si="1"/>
        <v>10</v>
      </c>
      <c r="AC34" s="40" t="s">
        <v>1386</v>
      </c>
      <c r="AD34" s="37">
        <f>IF(REGION_NAME="Красноярский край",AD32*AD33,IF(AD32&gt;0,AD32*AD33*AL26,IF(AL26=1,AD32*AD33*AL26,-AD32*AD33*AL26)))</f>
        <v>0</v>
      </c>
      <c r="AE34" s="37">
        <f>IF(REGION_NAME="Красноярский край",AE32*AE33,IF(AE32&gt;0,AE32*AE33*AL26,IF(AL26=1,AE32*AE33*AL26,-AE32*AE33*AL26)))</f>
        <v>0</v>
      </c>
    </row>
    <row r="35" spans="4:39" ht="12" customHeight="1" x14ac:dyDescent="0.15">
      <c r="D35" s="130">
        <v>16</v>
      </c>
    </row>
    <row r="36" spans="4:39" ht="47.25" customHeight="1" x14ac:dyDescent="0.15">
      <c r="D36" s="130">
        <v>63</v>
      </c>
      <c r="AC36" s="18" t="str">
        <f>IF(LEN(ruk_dol)=0,"",ruk_dol)</f>
        <v>Генеральный директор</v>
      </c>
      <c r="AD36" s="74" t="str">
        <f>IF(LEN(ruk_FIO)=0,"",ruk_FIO)</f>
        <v>Шохин Александр Ефимович</v>
      </c>
      <c r="AE36" s="74" t="str">
        <f>IF(LEN(ruk_FIO)=0,"",ruk_FIO)</f>
        <v>Шохин Александр Ефимович</v>
      </c>
    </row>
    <row r="37" spans="4:39" ht="24" customHeight="1" x14ac:dyDescent="0.15">
      <c r="D37" s="130">
        <v>32</v>
      </c>
      <c r="AC37" s="49" t="s">
        <v>652</v>
      </c>
      <c r="AD37" s="52" t="s">
        <v>757</v>
      </c>
      <c r="AE37" s="52" t="s">
        <v>757</v>
      </c>
    </row>
    <row r="38" spans="4:39" ht="11.25" hidden="1" customHeight="1" x14ac:dyDescent="0.15">
      <c r="D38" s="131">
        <v>0</v>
      </c>
      <c r="AM38" s="23" t="s">
        <v>71</v>
      </c>
    </row>
  </sheetData>
  <sheetProtection formatColumns="0" formatRows="0" insertRows="0" deleteColumns="0" deleteRows="0" sort="0" autoFilter="0"/>
  <mergeCells count="4">
    <mergeCell ref="AB22:AD22"/>
    <mergeCell ref="AH24:AK24"/>
    <mergeCell ref="AL24:AL25"/>
    <mergeCell ref="AB21:AD21"/>
  </mergeCells>
  <dataValidations count="1">
    <dataValidation type="whole" allowBlank="1" showErrorMessage="1" errorTitle="Ошибка" error="Допускается ввод только неотрицательных целых чисел!" sqref="AH26:AK26">
      <formula1>0</formula1>
      <formula2>9.99999999999999E+23</formula2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5D9F1"/>
  </sheetPr>
  <dimension ref="A1:AM38"/>
  <sheetViews>
    <sheetView showGridLines="0" topLeftCell="AA20" workbookViewId="0">
      <selection activeCell="AD44" sqref="AD44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4" style="166" customWidth="1"/>
    <col min="29" max="29" width="72.5703125" style="166" customWidth="1"/>
    <col min="30" max="30" width="14.7109375" style="166" customWidth="1"/>
    <col min="31" max="31" width="14.7109375" style="166" hidden="1" customWidth="1"/>
    <col min="32" max="33" width="8.5703125" style="166" hidden="1" customWidth="1"/>
    <col min="34" max="37" width="15.140625" style="166" hidden="1" customWidth="1"/>
    <col min="38" max="38" width="20.7109375" style="166" hidden="1" customWidth="1"/>
    <col min="39" max="39" width="9.140625" hidden="1"/>
  </cols>
  <sheetData>
    <row r="1" spans="4:39" ht="22.5" hidden="1" customHeight="1" x14ac:dyDescent="0.15"/>
    <row r="2" spans="4:39" ht="12.75" hidden="1" customHeight="1" x14ac:dyDescent="0.15">
      <c r="AE2" s="59" t="b">
        <f t="shared" ref="AE2:AL2" si="0">REPORT_OWNER="Версия регулятора"</f>
        <v>0</v>
      </c>
      <c r="AF2" s="59" t="b">
        <f t="shared" si="0"/>
        <v>0</v>
      </c>
      <c r="AG2" s="59" t="b">
        <f t="shared" si="0"/>
        <v>0</v>
      </c>
      <c r="AH2" s="59" t="b">
        <f t="shared" si="0"/>
        <v>0</v>
      </c>
      <c r="AI2" s="59" t="b">
        <f t="shared" si="0"/>
        <v>0</v>
      </c>
      <c r="AJ2" s="59" t="b">
        <f t="shared" si="0"/>
        <v>0</v>
      </c>
      <c r="AK2" s="59" t="b">
        <f t="shared" si="0"/>
        <v>0</v>
      </c>
      <c r="AL2" s="59" t="b">
        <f t="shared" si="0"/>
        <v>0</v>
      </c>
    </row>
    <row r="3" spans="4:39" ht="11.25" hidden="1" customHeight="1" x14ac:dyDescent="0.15"/>
    <row r="4" spans="4:39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28</v>
      </c>
      <c r="AC4" s="130">
        <v>508</v>
      </c>
      <c r="AD4" s="130">
        <v>103</v>
      </c>
      <c r="AE4" s="130">
        <v>103</v>
      </c>
      <c r="AF4" s="130">
        <v>60</v>
      </c>
      <c r="AG4" s="130">
        <v>60</v>
      </c>
      <c r="AH4" s="130">
        <v>106</v>
      </c>
      <c r="AI4" s="130">
        <v>106</v>
      </c>
      <c r="AJ4" s="130">
        <v>106</v>
      </c>
      <c r="AK4" s="130">
        <v>106</v>
      </c>
      <c r="AL4" s="130">
        <v>145</v>
      </c>
      <c r="AM4" s="131">
        <v>0</v>
      </c>
    </row>
    <row r="5" spans="4:39" ht="26.25" hidden="1" customHeight="1" x14ac:dyDescent="0.15">
      <c r="D5" s="130">
        <v>35</v>
      </c>
    </row>
    <row r="6" spans="4:39" ht="26.25" hidden="1" customHeight="1" x14ac:dyDescent="0.15">
      <c r="D6" s="130">
        <v>35</v>
      </c>
    </row>
    <row r="7" spans="4:39" ht="26.25" hidden="1" customHeight="1" x14ac:dyDescent="0.15">
      <c r="D7" s="130">
        <v>35</v>
      </c>
    </row>
    <row r="8" spans="4:39" ht="26.25" hidden="1" customHeight="1" x14ac:dyDescent="0.15">
      <c r="D8" s="130">
        <v>35</v>
      </c>
    </row>
    <row r="9" spans="4:39" ht="26.25" hidden="1" customHeight="1" x14ac:dyDescent="0.15">
      <c r="D9" s="130">
        <v>35</v>
      </c>
    </row>
    <row r="10" spans="4:39" ht="26.25" hidden="1" customHeight="1" x14ac:dyDescent="0.15">
      <c r="D10" s="130">
        <v>35</v>
      </c>
    </row>
    <row r="11" spans="4:39" ht="26.25" hidden="1" customHeight="1" x14ac:dyDescent="0.15">
      <c r="D11" s="130">
        <v>35</v>
      </c>
    </row>
    <row r="12" spans="4:39" ht="26.25" hidden="1" customHeight="1" x14ac:dyDescent="0.15">
      <c r="D12" s="130">
        <v>35</v>
      </c>
    </row>
    <row r="13" spans="4:39" ht="26.25" hidden="1" customHeight="1" x14ac:dyDescent="0.15">
      <c r="D13" s="130">
        <v>35</v>
      </c>
    </row>
    <row r="14" spans="4:39" ht="26.25" hidden="1" customHeight="1" x14ac:dyDescent="0.15">
      <c r="D14" s="130">
        <v>35</v>
      </c>
    </row>
    <row r="15" spans="4:39" ht="26.25" hidden="1" customHeight="1" x14ac:dyDescent="0.15">
      <c r="D15" s="130">
        <v>35</v>
      </c>
    </row>
    <row r="16" spans="4:39" ht="26.25" hidden="1" customHeight="1" x14ac:dyDescent="0.15">
      <c r="D16" s="130">
        <v>35</v>
      </c>
    </row>
    <row r="17" spans="4:38" ht="26.25" hidden="1" customHeight="1" x14ac:dyDescent="0.15">
      <c r="D17" s="130">
        <v>35</v>
      </c>
    </row>
    <row r="18" spans="4:38" ht="26.25" hidden="1" customHeight="1" x14ac:dyDescent="0.15">
      <c r="D18" s="130">
        <v>35</v>
      </c>
    </row>
    <row r="19" spans="4:38" ht="26.25" hidden="1" customHeight="1" x14ac:dyDescent="0.15">
      <c r="D19" s="130">
        <v>35</v>
      </c>
    </row>
    <row r="20" spans="4:38" ht="15" customHeight="1" x14ac:dyDescent="0.15">
      <c r="D20" s="130">
        <v>20</v>
      </c>
    </row>
    <row r="21" spans="4:38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8" ht="31.5" customHeight="1" x14ac:dyDescent="0.15">
      <c r="D22" s="130">
        <v>42</v>
      </c>
      <c r="AB22" s="663" t="s">
        <v>1371</v>
      </c>
      <c r="AC22" s="663"/>
      <c r="AD22" s="663"/>
    </row>
    <row r="23" spans="4:38" ht="6" customHeight="1" x14ac:dyDescent="0.15">
      <c r="D23" s="130">
        <v>8</v>
      </c>
    </row>
    <row r="24" spans="4:38" ht="27" customHeight="1" x14ac:dyDescent="0.15">
      <c r="D24" s="130">
        <v>36</v>
      </c>
      <c r="AB24" s="31" t="s">
        <v>687</v>
      </c>
      <c r="AC24" s="31" t="s">
        <v>1276</v>
      </c>
      <c r="AD24" s="31" t="str">
        <f>IF(PRD="","Не определено",PRD)&amp;" год"</f>
        <v>2025 год</v>
      </c>
      <c r="AE24" s="61" t="str">
        <f>IF(PRD="","Не определено",PRD)&amp;" год"</f>
        <v>2025 год</v>
      </c>
      <c r="AF24" s="31" t="s">
        <v>1372</v>
      </c>
      <c r="AG24" s="31" t="s">
        <v>1373</v>
      </c>
      <c r="AH24" s="682" t="s">
        <v>1374</v>
      </c>
      <c r="AI24" s="683"/>
      <c r="AJ24" s="683"/>
      <c r="AK24" s="684"/>
      <c r="AL24" s="681" t="s">
        <v>1375</v>
      </c>
    </row>
    <row r="25" spans="4:38" ht="42.75" customHeight="1" x14ac:dyDescent="0.15">
      <c r="D25" s="130">
        <v>57</v>
      </c>
      <c r="AB25" s="31">
        <v>1</v>
      </c>
      <c r="AC25" s="40" t="s">
        <v>1299</v>
      </c>
      <c r="AD25" s="40"/>
      <c r="AE25" s="40"/>
      <c r="AF25" s="32"/>
      <c r="AG25" s="32"/>
      <c r="AH25" s="31" t="s">
        <v>1376</v>
      </c>
      <c r="AI25" s="31" t="s">
        <v>1377</v>
      </c>
      <c r="AJ25" s="31" t="s">
        <v>1378</v>
      </c>
      <c r="AK25" s="31" t="s">
        <v>1379</v>
      </c>
      <c r="AL25" s="674"/>
    </row>
    <row r="26" spans="4:38" ht="15.75" customHeight="1" x14ac:dyDescent="0.15">
      <c r="D26" s="130">
        <v>21</v>
      </c>
      <c r="AB26" s="31">
        <v>2</v>
      </c>
      <c r="AC26" s="40" t="s">
        <v>1301</v>
      </c>
      <c r="AD26" s="37">
        <f>'Форма 4.1 расч. с 2024 г'!AE50</f>
        <v>1</v>
      </c>
      <c r="AE26" s="37">
        <f>'Форма 4.1 расч. с 2024 г'!AF50</f>
        <v>0</v>
      </c>
      <c r="AF26" s="244"/>
      <c r="AG26" s="244"/>
      <c r="AH26" s="618"/>
      <c r="AI26" s="619"/>
      <c r="AJ26" s="619"/>
      <c r="AK26" s="619"/>
      <c r="AL26" s="84">
        <f>IF(SUM(AH26:AK26)&gt;0,-1,1)</f>
        <v>1</v>
      </c>
    </row>
    <row r="27" spans="4:38" ht="15.75" customHeight="1" x14ac:dyDescent="0.15">
      <c r="D27" s="130">
        <v>21</v>
      </c>
      <c r="AB27" s="31">
        <f t="shared" ref="AB27:AB34" si="1">AB26+1</f>
        <v>3</v>
      </c>
      <c r="AC27" s="40" t="s">
        <v>1302</v>
      </c>
      <c r="AD27" s="37">
        <f>'Форма 4.1 расч. с 2024 г'!AE55</f>
        <v>1</v>
      </c>
      <c r="AE27" s="37">
        <f>'Форма 4.1 расч. с 2024 г'!AF55</f>
        <v>0</v>
      </c>
    </row>
    <row r="28" spans="4:38" ht="15.75" customHeight="1" x14ac:dyDescent="0.15">
      <c r="D28" s="130">
        <v>21</v>
      </c>
      <c r="AB28" s="31">
        <f t="shared" si="1"/>
        <v>4</v>
      </c>
      <c r="AC28" s="40" t="s">
        <v>1380</v>
      </c>
      <c r="AD28" s="40"/>
      <c r="AE28" s="40"/>
    </row>
    <row r="29" spans="4:38" ht="15.75" customHeight="1" x14ac:dyDescent="0.15">
      <c r="D29" s="130">
        <v>21</v>
      </c>
      <c r="AB29" s="31">
        <f t="shared" si="1"/>
        <v>5</v>
      </c>
      <c r="AC29" s="40" t="s">
        <v>1381</v>
      </c>
      <c r="AD29" s="37">
        <f>'Форма 4.1 расч. с 2024 г'!AE61</f>
        <v>0</v>
      </c>
      <c r="AE29" s="37">
        <f>'Форма 4.1 расч. с 2024 г'!AF61</f>
        <v>-1</v>
      </c>
    </row>
    <row r="30" spans="4:38" ht="15.75" customHeight="1" x14ac:dyDescent="0.15">
      <c r="D30" s="130">
        <v>21</v>
      </c>
      <c r="AB30" s="31">
        <f t="shared" si="1"/>
        <v>6</v>
      </c>
      <c r="AC30" s="40" t="s">
        <v>1382</v>
      </c>
      <c r="AD30" s="40"/>
      <c r="AE30" s="40"/>
    </row>
    <row r="31" spans="4:38" ht="15.75" customHeight="1" x14ac:dyDescent="0.15">
      <c r="D31" s="130">
        <v>21</v>
      </c>
      <c r="AB31" s="31">
        <f t="shared" si="1"/>
        <v>7</v>
      </c>
      <c r="AC31" s="40" t="s">
        <v>1383</v>
      </c>
      <c r="AD31" s="37">
        <f>'Форма 4.1 расч. с 2024 г'!AE63</f>
        <v>0</v>
      </c>
      <c r="AE31" s="37">
        <f>'Форма 4.1 расч. с 2024 г'!AF63</f>
        <v>0</v>
      </c>
    </row>
    <row r="32" spans="4:38" ht="15.75" customHeight="1" x14ac:dyDescent="0.15">
      <c r="D32" s="130">
        <v>21</v>
      </c>
      <c r="AB32" s="31">
        <f t="shared" si="1"/>
        <v>8</v>
      </c>
      <c r="AC32" s="40" t="s">
        <v>1384</v>
      </c>
      <c r="AD32" s="37">
        <f>AD26*0.3+AD27*0.3+AD29*0.3+AD31*0.1</f>
        <v>0.6</v>
      </c>
      <c r="AE32" s="37">
        <f>AE26*0.3+AE27*0.3+AE29*0.3+AE31*0.1</f>
        <v>-0.3</v>
      </c>
    </row>
    <row r="33" spans="4:39" ht="15.75" customHeight="1" x14ac:dyDescent="0.15">
      <c r="D33" s="130">
        <v>21</v>
      </c>
      <c r="AB33" s="31">
        <f t="shared" si="1"/>
        <v>9</v>
      </c>
      <c r="AC33" s="40" t="s">
        <v>1385</v>
      </c>
      <c r="AD33" s="41">
        <v>0.02</v>
      </c>
      <c r="AE33" s="621"/>
    </row>
    <row r="34" spans="4:39" ht="35.25" customHeight="1" x14ac:dyDescent="0.15">
      <c r="D34" s="130">
        <v>47</v>
      </c>
      <c r="AB34" s="31">
        <f t="shared" si="1"/>
        <v>10</v>
      </c>
      <c r="AC34" s="40" t="s">
        <v>1386</v>
      </c>
      <c r="AD34" s="37">
        <f>IF(REGION_NAME="Красноярский край",AD32*AD33,IF(AD32&gt;0,AD32*AD33*AL26,IF(AL26=1,AD32*AD33*AL26,-AD32*AD33*AL26)))</f>
        <v>1.2E-2</v>
      </c>
      <c r="AE34" s="37">
        <f>IF(REGION_NAME="Красноярский край",AE32*AE33,IF(AE32&gt;0,AE32*AE33*AL26,IF(AL26=1,AE32*AE33*AL26,-AE32*AE33*AL26)))</f>
        <v>0</v>
      </c>
    </row>
    <row r="35" spans="4:39" ht="12" customHeight="1" x14ac:dyDescent="0.15">
      <c r="D35" s="130">
        <v>16</v>
      </c>
    </row>
    <row r="36" spans="4:39" ht="47.25" customHeight="1" x14ac:dyDescent="0.15">
      <c r="D36" s="130">
        <v>63</v>
      </c>
      <c r="AC36" s="18" t="str">
        <f>IF(LEN(ruk_dol)=0,"",ruk_dol)</f>
        <v>Генеральный директор</v>
      </c>
      <c r="AD36" s="74" t="str">
        <f>IF(LEN(ruk_FIO)=0,"",ruk_FIO)</f>
        <v>Шохин Александр Ефимович</v>
      </c>
      <c r="AE36" s="74" t="str">
        <f>IF(LEN(ruk_FIO)=0,"",ruk_FIO)</f>
        <v>Шохин Александр Ефимович</v>
      </c>
    </row>
    <row r="37" spans="4:39" ht="24" customHeight="1" x14ac:dyDescent="0.15">
      <c r="D37" s="130">
        <v>32</v>
      </c>
      <c r="AC37" s="49" t="s">
        <v>652</v>
      </c>
      <c r="AD37" s="52" t="s">
        <v>757</v>
      </c>
      <c r="AE37" s="52" t="s">
        <v>757</v>
      </c>
    </row>
    <row r="38" spans="4:39" ht="11.25" hidden="1" customHeight="1" x14ac:dyDescent="0.15">
      <c r="D38" s="131">
        <v>0</v>
      </c>
      <c r="AM38" s="23" t="s">
        <v>71</v>
      </c>
    </row>
  </sheetData>
  <sheetProtection formatColumns="0" formatRows="0" insertRows="0" deleteColumns="0" deleteRows="0" sort="0" autoFilter="0"/>
  <mergeCells count="4">
    <mergeCell ref="AB22:AD22"/>
    <mergeCell ref="AH24:AK24"/>
    <mergeCell ref="AL24:AL25"/>
    <mergeCell ref="AB21:AD21"/>
  </mergeCells>
  <dataValidations count="1">
    <dataValidation type="whole" allowBlank="1" showErrorMessage="1" errorTitle="Ошибка" error="Допускается ввод только неотрицательных целых чисел!" sqref="AH26:AK26">
      <formula1>0</formula1>
      <formula2>9.99999999999999E+23</formula2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L40"/>
  <sheetViews>
    <sheetView showGridLines="0" topLeftCell="AA20" workbookViewId="0">
      <selection activeCell="AF41" sqref="AF41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6" style="166" customWidth="1"/>
    <col min="29" max="29" width="52.140625" style="166" customWidth="1"/>
    <col min="30" max="30" width="14.5703125" style="166" customWidth="1"/>
    <col min="31" max="32" width="13" style="166" customWidth="1"/>
    <col min="33" max="33" width="9.140625" hidden="1"/>
    <col min="34" max="34" width="14.5703125" style="166" hidden="1" customWidth="1"/>
    <col min="35" max="36" width="13" style="166" hidden="1" customWidth="1"/>
    <col min="37" max="38" width="9.140625" hidden="1"/>
  </cols>
  <sheetData>
    <row r="1" spans="4:38" ht="22.5" hidden="1" customHeight="1" x14ac:dyDescent="0.15"/>
    <row r="2" spans="4:38" ht="12.75" hidden="1" customHeight="1" x14ac:dyDescent="0.15">
      <c r="AH2" s="59" t="b">
        <f>REPORT_OWNER="Версия регулятора"</f>
        <v>0</v>
      </c>
      <c r="AI2" s="59" t="b">
        <f>REPORT_OWNER="Версия регулятора"</f>
        <v>0</v>
      </c>
      <c r="AJ2" s="59" t="b">
        <f>REPORT_OWNER="Версия регулятора"</f>
        <v>0</v>
      </c>
    </row>
    <row r="3" spans="4:38" ht="11.25" hidden="1" customHeight="1" x14ac:dyDescent="0.15"/>
    <row r="4" spans="4:38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42</v>
      </c>
      <c r="AC4" s="130">
        <v>365</v>
      </c>
      <c r="AD4" s="130">
        <v>102</v>
      </c>
      <c r="AE4" s="130">
        <v>91</v>
      </c>
      <c r="AF4" s="130">
        <v>91</v>
      </c>
      <c r="AG4" s="130">
        <v>0</v>
      </c>
      <c r="AH4" s="130">
        <v>102</v>
      </c>
      <c r="AI4" s="130">
        <v>91</v>
      </c>
      <c r="AJ4" s="130">
        <v>91</v>
      </c>
      <c r="AK4" s="130">
        <v>0</v>
      </c>
      <c r="AL4" s="131">
        <v>0</v>
      </c>
    </row>
    <row r="5" spans="4:38" ht="26.25" hidden="1" customHeight="1" x14ac:dyDescent="0.15">
      <c r="D5" s="130">
        <v>35</v>
      </c>
    </row>
    <row r="6" spans="4:38" ht="26.25" hidden="1" customHeight="1" x14ac:dyDescent="0.15">
      <c r="D6" s="130">
        <v>35</v>
      </c>
    </row>
    <row r="7" spans="4:38" ht="26.25" hidden="1" customHeight="1" x14ac:dyDescent="0.15">
      <c r="D7" s="130">
        <v>35</v>
      </c>
    </row>
    <row r="8" spans="4:38" ht="26.25" hidden="1" customHeight="1" x14ac:dyDescent="0.15">
      <c r="D8" s="130">
        <v>35</v>
      </c>
    </row>
    <row r="9" spans="4:38" ht="26.25" hidden="1" customHeight="1" x14ac:dyDescent="0.15">
      <c r="D9" s="130">
        <v>35</v>
      </c>
    </row>
    <row r="10" spans="4:38" ht="26.25" hidden="1" customHeight="1" x14ac:dyDescent="0.15">
      <c r="D10" s="130">
        <v>35</v>
      </c>
    </row>
    <row r="11" spans="4:38" ht="26.25" hidden="1" customHeight="1" x14ac:dyDescent="0.15">
      <c r="D11" s="130">
        <v>35</v>
      </c>
    </row>
    <row r="12" spans="4:38" ht="26.25" hidden="1" customHeight="1" x14ac:dyDescent="0.15">
      <c r="D12" s="130">
        <v>35</v>
      </c>
    </row>
    <row r="13" spans="4:38" ht="26.25" hidden="1" customHeight="1" x14ac:dyDescent="0.15">
      <c r="D13" s="130">
        <v>35</v>
      </c>
    </row>
    <row r="14" spans="4:38" ht="26.25" hidden="1" customHeight="1" x14ac:dyDescent="0.15">
      <c r="D14" s="130">
        <v>35</v>
      </c>
    </row>
    <row r="15" spans="4:38" ht="26.25" hidden="1" customHeight="1" x14ac:dyDescent="0.15">
      <c r="D15" s="130">
        <v>35</v>
      </c>
    </row>
    <row r="16" spans="4:38" ht="26.25" hidden="1" customHeight="1" x14ac:dyDescent="0.15">
      <c r="D16" s="130">
        <v>35</v>
      </c>
    </row>
    <row r="17" spans="4:37" ht="26.25" hidden="1" customHeight="1" x14ac:dyDescent="0.15">
      <c r="D17" s="130">
        <v>35</v>
      </c>
    </row>
    <row r="18" spans="4:37" ht="26.25" hidden="1" customHeight="1" x14ac:dyDescent="0.15">
      <c r="D18" s="130">
        <v>35</v>
      </c>
    </row>
    <row r="19" spans="4:37" ht="26.25" hidden="1" customHeight="1" x14ac:dyDescent="0.15">
      <c r="D19" s="130">
        <v>35</v>
      </c>
    </row>
    <row r="20" spans="4:37" ht="15" customHeight="1" x14ac:dyDescent="0.15">
      <c r="D20" s="130">
        <v>20</v>
      </c>
    </row>
    <row r="21" spans="4:37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37" ht="26.25" customHeight="1" x14ac:dyDescent="0.15">
      <c r="D22" s="130">
        <v>35</v>
      </c>
      <c r="AB22" s="663" t="s">
        <v>1387</v>
      </c>
      <c r="AC22" s="663"/>
      <c r="AD22" s="663"/>
      <c r="AE22" s="663"/>
      <c r="AF22" s="663"/>
    </row>
    <row r="23" spans="4:37" ht="4.5" customHeight="1" x14ac:dyDescent="0.15">
      <c r="D23" s="130">
        <v>6</v>
      </c>
      <c r="AB23" s="641"/>
      <c r="AC23" s="641"/>
      <c r="AD23" s="641"/>
      <c r="AE23" s="641"/>
      <c r="AF23" s="641"/>
    </row>
    <row r="24" spans="4:37" ht="25.5" customHeight="1" x14ac:dyDescent="0.15">
      <c r="D24" s="130">
        <v>34</v>
      </c>
      <c r="AB24" s="680" t="s">
        <v>687</v>
      </c>
      <c r="AC24" s="680" t="s">
        <v>1388</v>
      </c>
      <c r="AD24" s="680" t="str">
        <f>IF(PRD="","Не определено",PRD)&amp;" год"</f>
        <v>2025 год</v>
      </c>
      <c r="AE24" s="680"/>
      <c r="AF24" s="680"/>
      <c r="AH24" s="734" t="str">
        <f>IF(PRD="","Не определено",PRD)&amp;" год"</f>
        <v>2025 год</v>
      </c>
      <c r="AI24" s="734"/>
      <c r="AJ24" s="734"/>
    </row>
    <row r="25" spans="4:37" ht="54.75" customHeight="1" x14ac:dyDescent="0.15">
      <c r="D25" s="130">
        <v>73</v>
      </c>
      <c r="AB25" s="680"/>
      <c r="AC25" s="680"/>
      <c r="AD25" s="680" t="s">
        <v>1389</v>
      </c>
      <c r="AE25" s="680" t="s">
        <v>1390</v>
      </c>
      <c r="AF25" s="680"/>
      <c r="AH25" s="680" t="s">
        <v>1389</v>
      </c>
      <c r="AI25" s="680" t="s">
        <v>1390</v>
      </c>
      <c r="AJ25" s="680"/>
    </row>
    <row r="26" spans="4:37" ht="54.75" customHeight="1" x14ac:dyDescent="0.15">
      <c r="D26" s="130">
        <v>73</v>
      </c>
      <c r="AB26" s="680"/>
      <c r="AC26" s="680"/>
      <c r="AD26" s="680"/>
      <c r="AE26" s="31" t="s">
        <v>1391</v>
      </c>
      <c r="AF26" s="31" t="s">
        <v>1392</v>
      </c>
      <c r="AH26" s="680"/>
      <c r="AI26" s="31" t="s">
        <v>1391</v>
      </c>
      <c r="AJ26" s="31" t="s">
        <v>1392</v>
      </c>
    </row>
    <row r="27" spans="4:37" ht="6.75" customHeight="1" x14ac:dyDescent="0.15">
      <c r="D27" s="130">
        <v>9</v>
      </c>
    </row>
    <row r="28" spans="4:37" ht="27" customHeight="1" x14ac:dyDescent="0.15">
      <c r="D28" s="130">
        <v>36</v>
      </c>
      <c r="AB28" s="31" t="s">
        <v>112</v>
      </c>
      <c r="AC28" s="40" t="s">
        <v>1393</v>
      </c>
      <c r="AD28" s="85">
        <v>3084.3780000000002</v>
      </c>
      <c r="AE28" s="29"/>
      <c r="AF28" s="29"/>
      <c r="AH28" s="622"/>
      <c r="AI28" s="623"/>
      <c r="AJ28" s="623"/>
    </row>
    <row r="29" spans="4:37" ht="27" customHeight="1" x14ac:dyDescent="0.15">
      <c r="D29" s="130">
        <v>36</v>
      </c>
      <c r="AB29" s="31" t="s">
        <v>692</v>
      </c>
      <c r="AC29" s="40" t="s">
        <v>1394</v>
      </c>
      <c r="AD29" s="85">
        <v>4.07</v>
      </c>
      <c r="AE29" s="29"/>
      <c r="AF29" s="29"/>
      <c r="AH29" s="622"/>
      <c r="AI29" s="623"/>
      <c r="AJ29" s="623"/>
    </row>
    <row r="30" spans="4:37" ht="37.5" customHeight="1" x14ac:dyDescent="0.15">
      <c r="D30" s="130">
        <v>50</v>
      </c>
      <c r="AB30" s="31" t="s">
        <v>143</v>
      </c>
      <c r="AC30" s="40" t="s">
        <v>1395</v>
      </c>
      <c r="AD30" s="624">
        <f>IF(AD28=0,0,AD29/AD28)</f>
        <v>1.3195529212048588E-3</v>
      </c>
      <c r="AE30" s="40"/>
      <c r="AF30" s="40"/>
      <c r="AG30" s="50">
        <f>IFERROR(AD31/AD28,0)</f>
        <v>0.48632171543176611</v>
      </c>
      <c r="AH30" s="86">
        <f>IF(AH28=0,0,AH29/AH28)</f>
        <v>0</v>
      </c>
      <c r="AI30" s="40"/>
      <c r="AJ30" s="40"/>
      <c r="AK30" s="50">
        <f>IFERROR(AH31/AH28,0)</f>
        <v>0</v>
      </c>
    </row>
    <row r="31" spans="4:37" ht="15.75" customHeight="1" x14ac:dyDescent="0.15">
      <c r="D31" s="130">
        <v>21</v>
      </c>
      <c r="AB31" s="31" t="s">
        <v>151</v>
      </c>
      <c r="AC31" s="40" t="s">
        <v>1396</v>
      </c>
      <c r="AD31" s="42">
        <f>IF(FIRST_PERIOD_IN_LT&gt;=2024,'ф.8.3.1 Индикатив'!AD27,'ф.8.3 Индикатив'!AD27)</f>
        <v>1500</v>
      </c>
      <c r="AE31" s="29"/>
      <c r="AF31" s="29"/>
      <c r="AH31" s="42">
        <f>IF(FIRST_PERIOD_IN_LT&gt;=2024,'ф.8.3.1 Индикатив'!AE27,'ф.8.3 Индикатив'!AE27)</f>
        <v>1500</v>
      </c>
      <c r="AI31" s="623"/>
      <c r="AJ31" s="623"/>
    </row>
    <row r="32" spans="4:37" ht="15.75" customHeight="1" x14ac:dyDescent="0.15">
      <c r="D32" s="130">
        <v>21</v>
      </c>
      <c r="AB32" s="31" t="s">
        <v>158</v>
      </c>
      <c r="AC32" s="40" t="s">
        <v>1397</v>
      </c>
      <c r="AD32" s="64">
        <v>1646</v>
      </c>
      <c r="AE32" s="29"/>
      <c r="AF32" s="29"/>
      <c r="AH32" s="605"/>
      <c r="AI32" s="623"/>
      <c r="AJ32" s="623"/>
    </row>
    <row r="33" spans="4:38" ht="15.75" customHeight="1" x14ac:dyDescent="0.15">
      <c r="D33" s="130">
        <v>21</v>
      </c>
      <c r="AB33" s="31" t="s">
        <v>703</v>
      </c>
      <c r="AC33" s="40" t="s">
        <v>1398</v>
      </c>
      <c r="AD33" s="85">
        <v>17.7</v>
      </c>
      <c r="AE33" s="29"/>
      <c r="AF33" s="29"/>
      <c r="AH33" s="622"/>
      <c r="AI33" s="623"/>
      <c r="AJ33" s="623"/>
    </row>
    <row r="34" spans="4:38" ht="27" customHeight="1" x14ac:dyDescent="0.15">
      <c r="D34" s="130">
        <v>36</v>
      </c>
      <c r="AB34" s="31" t="s">
        <v>704</v>
      </c>
      <c r="AC34" s="40" t="s">
        <v>1399</v>
      </c>
      <c r="AD34" s="42">
        <f>MATCH(1,'Ф9.1Ф9.2'!$AD$27:$AD$35,0)</f>
        <v>6</v>
      </c>
      <c r="AE34" s="40"/>
      <c r="AF34" s="40"/>
      <c r="AH34" s="42">
        <f>MATCH(1,'Ф9.1Ф9.2'!$AI$27:$AI$35,0)</f>
        <v>9</v>
      </c>
      <c r="AI34" s="40"/>
      <c r="AJ34" s="40"/>
    </row>
    <row r="35" spans="4:38" ht="27" customHeight="1" x14ac:dyDescent="0.15">
      <c r="D35" s="130">
        <v>36</v>
      </c>
      <c r="AB35" s="31" t="s">
        <v>705</v>
      </c>
      <c r="AC35" s="40" t="s">
        <v>1400</v>
      </c>
      <c r="AD35" s="42">
        <f>MATCH(1,'Ф9.1Ф9.2'!$AD$42:$AD$49,0)</f>
        <v>3</v>
      </c>
      <c r="AE35" s="40"/>
      <c r="AF35" s="40"/>
      <c r="AH35" s="42">
        <f>MATCH(1,'Ф9.1Ф9.2'!$AI$42:$AI$49,0)</f>
        <v>8</v>
      </c>
      <c r="AI35" s="40"/>
      <c r="AJ35" s="40"/>
    </row>
    <row r="36" spans="4:38" ht="12" customHeight="1" x14ac:dyDescent="0.15">
      <c r="D36" s="130">
        <v>16</v>
      </c>
      <c r="AB36" s="47"/>
      <c r="AC36" s="18"/>
      <c r="AD36" s="18"/>
      <c r="AE36" s="18"/>
      <c r="AF36" s="57"/>
      <c r="AH36" s="18"/>
      <c r="AI36" s="18"/>
      <c r="AJ36" s="57"/>
    </row>
    <row r="37" spans="4:38" ht="47.25" customHeight="1" x14ac:dyDescent="0.15">
      <c r="D37" s="130">
        <v>63</v>
      </c>
      <c r="AC37" s="18" t="str">
        <f>IF(LEN(ruk_dol)=0,"",ruk_dol)</f>
        <v>Генеральный директор</v>
      </c>
      <c r="AD37" s="671" t="str">
        <f>IF(LEN(ruk_FIO)=0,"",ruk_FIO)</f>
        <v>Шохин Александр Ефимович</v>
      </c>
      <c r="AE37" s="671"/>
      <c r="AF37" s="76"/>
      <c r="AH37" s="671" t="str">
        <f>IF(LEN(ruk_FIO)=0,"",ruk_FIO)</f>
        <v>Шохин Александр Ефимович</v>
      </c>
      <c r="AI37" s="671"/>
      <c r="AJ37" s="76"/>
    </row>
    <row r="38" spans="4:38" ht="12" customHeight="1" x14ac:dyDescent="0.15">
      <c r="D38" s="130">
        <v>16</v>
      </c>
      <c r="AC38" s="49" t="s">
        <v>652</v>
      </c>
      <c r="AD38" s="673" t="s">
        <v>757</v>
      </c>
      <c r="AE38" s="641"/>
      <c r="AF38" s="25" t="s">
        <v>758</v>
      </c>
      <c r="AH38" s="673" t="s">
        <v>757</v>
      </c>
      <c r="AI38" s="641"/>
      <c r="AJ38" s="25" t="s">
        <v>758</v>
      </c>
    </row>
    <row r="39" spans="4:38" ht="35.25" customHeight="1" x14ac:dyDescent="0.15">
      <c r="D39" s="130">
        <v>47</v>
      </c>
      <c r="AB39" s="51"/>
      <c r="AC39" s="51"/>
      <c r="AD39" s="60"/>
      <c r="AE39" s="60"/>
      <c r="AF39" s="60"/>
      <c r="AH39" s="60"/>
      <c r="AI39" s="60"/>
      <c r="AJ39" s="60"/>
    </row>
    <row r="40" spans="4:38" ht="11.25" hidden="1" customHeight="1" x14ac:dyDescent="0.15">
      <c r="D40" s="131">
        <v>0</v>
      </c>
      <c r="AL40" t="s">
        <v>71</v>
      </c>
    </row>
  </sheetData>
  <sheetProtection formatColumns="0" formatRows="0" insertRows="0" deleteColumns="0" deleteRows="0" sort="0" autoFilter="0"/>
  <mergeCells count="15">
    <mergeCell ref="AD37:AE37"/>
    <mergeCell ref="AD38:AE38"/>
    <mergeCell ref="AH24:AJ24"/>
    <mergeCell ref="AH25:AH26"/>
    <mergeCell ref="AI25:AJ25"/>
    <mergeCell ref="AH37:AI37"/>
    <mergeCell ref="AH38:AI38"/>
    <mergeCell ref="AB21:AD21"/>
    <mergeCell ref="AB22:AF22"/>
    <mergeCell ref="AB23:AF23"/>
    <mergeCell ref="AC24:AC26"/>
    <mergeCell ref="AB24:AB26"/>
    <mergeCell ref="AD25:AD26"/>
    <mergeCell ref="AE25:AF25"/>
    <mergeCell ref="AD24:AF24"/>
  </mergeCells>
  <dataValidations count="3">
    <dataValidation type="decimal" allowBlank="1" showErrorMessage="1" errorTitle="Ошибка" error="Некорректное значение! Доля не может превышать 100%." sqref="AH30 AD30">
      <formula1>0</formula1>
      <formula2>1</formula2>
    </dataValidation>
    <dataValidation type="whole" allowBlank="1" showErrorMessage="1" errorTitle="Ошибка" error="Допускается ввод только неотрицательных целых чисел!" sqref="AD31:AD32 AH31:AH32 AD34:AD35 AH34:AH35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AD33 AH33 AD28:AD29 AH28:AH29">
      <formula1>0</formula1>
      <formula2>9.99999999999999E+23</formula2>
    </dataValidation>
  </dataValidation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R50"/>
  <sheetViews>
    <sheetView showGridLines="0" topLeftCell="AA20" workbookViewId="0">
      <selection activeCell="AP32" sqref="AP32"/>
    </sheetView>
  </sheetViews>
  <sheetFormatPr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3" style="166" customWidth="1"/>
    <col min="29" max="29" width="71.7109375" style="166" customWidth="1"/>
    <col min="30" max="34" width="13" style="166" customWidth="1"/>
    <col min="35" max="39" width="13.7109375" style="166" hidden="1" customWidth="1"/>
    <col min="40" max="40" width="22" style="166" customWidth="1"/>
    <col min="41" max="41" width="25" style="166" customWidth="1"/>
    <col min="42" max="43" width="20" style="166" customWidth="1"/>
    <col min="44" max="44" width="9.140625" hidden="1"/>
  </cols>
  <sheetData>
    <row r="1" spans="4:44" ht="22.5" hidden="1" customHeight="1" x14ac:dyDescent="0.15"/>
    <row r="2" spans="4:44" ht="12.75" hidden="1" customHeight="1" x14ac:dyDescent="0.15">
      <c r="AI2" s="59" t="b">
        <f>REPORT_OWNER="Версия регулятора"</f>
        <v>0</v>
      </c>
      <c r="AJ2" s="59" t="b">
        <f>REPORT_OWNER="Версия регулятора"</f>
        <v>0</v>
      </c>
      <c r="AK2" s="59" t="b">
        <f>REPORT_OWNER="Версия регулятора"</f>
        <v>0</v>
      </c>
      <c r="AL2" s="59" t="b">
        <f>REPORT_OWNER="Версия регулятора"</f>
        <v>0</v>
      </c>
      <c r="AM2" s="59" t="b">
        <f>REPORT_OWNER="Версия регулятора"</f>
        <v>0</v>
      </c>
    </row>
    <row r="3" spans="4:44" ht="11.25" hidden="1" customHeight="1" x14ac:dyDescent="0.15"/>
    <row r="4" spans="4:44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21</v>
      </c>
      <c r="AC4" s="130">
        <v>502</v>
      </c>
      <c r="AD4" s="130">
        <v>91</v>
      </c>
      <c r="AE4" s="130">
        <v>91</v>
      </c>
      <c r="AF4" s="130">
        <v>91</v>
      </c>
      <c r="AG4" s="130">
        <v>91</v>
      </c>
      <c r="AH4" s="130">
        <v>91</v>
      </c>
      <c r="AI4" s="130">
        <v>96</v>
      </c>
      <c r="AJ4" s="130">
        <v>96</v>
      </c>
      <c r="AK4" s="130">
        <v>96</v>
      </c>
      <c r="AL4" s="130">
        <v>96</v>
      </c>
      <c r="AM4" s="130">
        <v>96</v>
      </c>
      <c r="AN4" s="130">
        <v>154</v>
      </c>
      <c r="AO4" s="130">
        <v>175</v>
      </c>
      <c r="AP4" s="130">
        <v>140</v>
      </c>
      <c r="AQ4" s="130">
        <v>140</v>
      </c>
      <c r="AR4" s="131">
        <v>0</v>
      </c>
    </row>
    <row r="5" spans="4:44" ht="26.25" hidden="1" customHeight="1" x14ac:dyDescent="0.15">
      <c r="D5" s="130">
        <v>35</v>
      </c>
    </row>
    <row r="6" spans="4:44" ht="26.25" hidden="1" customHeight="1" x14ac:dyDescent="0.15">
      <c r="D6" s="130">
        <v>35</v>
      </c>
    </row>
    <row r="7" spans="4:44" ht="26.25" hidden="1" customHeight="1" x14ac:dyDescent="0.15">
      <c r="D7" s="130">
        <v>35</v>
      </c>
    </row>
    <row r="8" spans="4:44" ht="26.25" hidden="1" customHeight="1" x14ac:dyDescent="0.15">
      <c r="D8" s="130">
        <v>35</v>
      </c>
    </row>
    <row r="9" spans="4:44" ht="26.25" hidden="1" customHeight="1" x14ac:dyDescent="0.15">
      <c r="D9" s="130">
        <v>35</v>
      </c>
    </row>
    <row r="10" spans="4:44" ht="26.25" hidden="1" customHeight="1" x14ac:dyDescent="0.15">
      <c r="D10" s="130">
        <v>35</v>
      </c>
    </row>
    <row r="11" spans="4:44" ht="26.25" hidden="1" customHeight="1" x14ac:dyDescent="0.15">
      <c r="D11" s="130">
        <v>35</v>
      </c>
    </row>
    <row r="12" spans="4:44" ht="26.25" hidden="1" customHeight="1" x14ac:dyDescent="0.15">
      <c r="D12" s="130">
        <v>35</v>
      </c>
    </row>
    <row r="13" spans="4:44" ht="26.25" hidden="1" customHeight="1" x14ac:dyDescent="0.15">
      <c r="D13" s="130">
        <v>35</v>
      </c>
    </row>
    <row r="14" spans="4:44" ht="26.25" hidden="1" customHeight="1" x14ac:dyDescent="0.15">
      <c r="D14" s="130">
        <v>35</v>
      </c>
    </row>
    <row r="15" spans="4:44" ht="26.25" hidden="1" customHeight="1" x14ac:dyDescent="0.15">
      <c r="D15" s="130">
        <v>35</v>
      </c>
    </row>
    <row r="16" spans="4:44" ht="26.25" hidden="1" customHeight="1" x14ac:dyDescent="0.15">
      <c r="D16" s="130">
        <v>35</v>
      </c>
    </row>
    <row r="17" spans="4:43" ht="26.25" hidden="1" customHeight="1" x14ac:dyDescent="0.15">
      <c r="D17" s="130">
        <v>35</v>
      </c>
    </row>
    <row r="18" spans="4:43" ht="26.25" hidden="1" customHeight="1" x14ac:dyDescent="0.15">
      <c r="D18" s="130">
        <v>35</v>
      </c>
    </row>
    <row r="19" spans="4:43" ht="26.25" hidden="1" customHeight="1" x14ac:dyDescent="0.15">
      <c r="D19" s="130">
        <v>35</v>
      </c>
    </row>
    <row r="20" spans="4:43" ht="15" customHeight="1" x14ac:dyDescent="0.15">
      <c r="D20" s="130">
        <v>20</v>
      </c>
    </row>
    <row r="21" spans="4:43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</row>
    <row r="22" spans="4:43" ht="31.5" customHeight="1" x14ac:dyDescent="0.15">
      <c r="D22" s="130">
        <v>42</v>
      </c>
      <c r="AB22" s="740" t="s">
        <v>1401</v>
      </c>
      <c r="AC22" s="740"/>
      <c r="AD22" s="740"/>
      <c r="AE22" s="740"/>
      <c r="AF22" s="740"/>
      <c r="AG22" s="740"/>
      <c r="AH22" s="740"/>
      <c r="AI22" s="740"/>
      <c r="AJ22" s="740"/>
      <c r="AK22" s="740"/>
      <c r="AL22" s="740"/>
      <c r="AM22" s="740"/>
      <c r="AN22" s="740"/>
      <c r="AO22" s="740"/>
      <c r="AP22" s="740"/>
      <c r="AQ22" s="740"/>
    </row>
    <row r="23" spans="4:43" ht="6" customHeight="1" x14ac:dyDescent="0.15">
      <c r="D23" s="130">
        <v>8</v>
      </c>
    </row>
    <row r="24" spans="4:43" ht="34.5" customHeight="1" x14ac:dyDescent="0.15">
      <c r="D24" s="130">
        <v>46</v>
      </c>
      <c r="AB24" s="680" t="s">
        <v>687</v>
      </c>
      <c r="AC24" s="682" t="s">
        <v>1402</v>
      </c>
      <c r="AD24" s="680" t="s">
        <v>1403</v>
      </c>
      <c r="AE24" s="680" t="s">
        <v>1404</v>
      </c>
      <c r="AF24" s="680" t="s">
        <v>1405</v>
      </c>
      <c r="AG24" s="680" t="s">
        <v>1406</v>
      </c>
      <c r="AH24" s="680" t="s">
        <v>1407</v>
      </c>
      <c r="AI24" s="741" t="s">
        <v>817</v>
      </c>
      <c r="AJ24" s="742"/>
      <c r="AK24" s="742"/>
      <c r="AL24" s="742"/>
      <c r="AM24" s="743"/>
      <c r="AN24" s="684" t="s">
        <v>1408</v>
      </c>
      <c r="AO24" s="680" t="s">
        <v>1409</v>
      </c>
      <c r="AP24" s="680" t="s">
        <v>1410</v>
      </c>
      <c r="AQ24" s="680"/>
    </row>
    <row r="25" spans="4:43" ht="15.75" customHeight="1" x14ac:dyDescent="0.15">
      <c r="D25" s="130">
        <v>21</v>
      </c>
      <c r="AB25" s="680"/>
      <c r="AC25" s="682"/>
      <c r="AD25" s="680"/>
      <c r="AE25" s="680"/>
      <c r="AF25" s="680"/>
      <c r="AG25" s="680"/>
      <c r="AH25" s="680"/>
      <c r="AI25" s="625" t="s">
        <v>1411</v>
      </c>
      <c r="AJ25" s="87" t="s">
        <v>1404</v>
      </c>
      <c r="AK25" s="87" t="s">
        <v>1405</v>
      </c>
      <c r="AL25" s="87" t="s">
        <v>1406</v>
      </c>
      <c r="AM25" s="87" t="s">
        <v>1407</v>
      </c>
      <c r="AN25" s="684"/>
      <c r="AO25" s="680"/>
      <c r="AP25" s="31" t="str">
        <f>IF(FIRST_PERIOD_IN_LT="","Не определено",FIRST_PERIOD_IN_LT)&amp;" год"</f>
        <v>2025 год</v>
      </c>
      <c r="AQ25" s="31" t="str">
        <f>IF(FIRST_PERIOD_IN_LT="","Не определено",FIRST_PERIOD_IN_LT+1)&amp;" год"</f>
        <v>2026 год</v>
      </c>
    </row>
    <row r="26" spans="4:43" ht="12.75" customHeight="1" x14ac:dyDescent="0.15">
      <c r="D26" s="130">
        <v>17</v>
      </c>
      <c r="AB26" s="626">
        <v>1</v>
      </c>
      <c r="AC26" s="88">
        <v>2</v>
      </c>
      <c r="AD26" s="88">
        <v>3</v>
      </c>
      <c r="AE26" s="88">
        <v>4</v>
      </c>
      <c r="AF26" s="88">
        <v>5</v>
      </c>
      <c r="AG26" s="88">
        <v>6</v>
      </c>
      <c r="AH26" s="88">
        <v>7</v>
      </c>
      <c r="AN26" s="88">
        <v>8</v>
      </c>
      <c r="AO26" s="88">
        <v>9</v>
      </c>
      <c r="AP26" s="88">
        <v>10</v>
      </c>
      <c r="AQ26" s="88">
        <v>11</v>
      </c>
    </row>
    <row r="27" spans="4:43" ht="27" customHeight="1" x14ac:dyDescent="0.15">
      <c r="D27" s="130">
        <v>36</v>
      </c>
      <c r="AB27" s="31">
        <v>1</v>
      </c>
      <c r="AC27" s="40" t="s">
        <v>1412</v>
      </c>
      <c r="AD27" s="19">
        <f>IF(SUM(AE27,AF27,AG27)=3,1,0)</f>
        <v>0</v>
      </c>
      <c r="AE27" s="19">
        <f>IF('ф.1.9 Характеристика'!$AD$28&gt;=7500,1,0)</f>
        <v>0</v>
      </c>
      <c r="AF27" s="19">
        <f>IF('ф.1.9 Характеристика'!$AD$30&lt;0.1,1,0)</f>
        <v>1</v>
      </c>
      <c r="AG27" s="19">
        <f>IF('ф.1.9 Характеристика'!AD33&gt;=20,1,0)</f>
        <v>0</v>
      </c>
      <c r="AH27" s="40"/>
      <c r="AI27" s="19">
        <f>IF(SUM(AJ27,AK27,AL27)=3,1,0)</f>
        <v>0</v>
      </c>
      <c r="AJ27" s="19">
        <f>IF('ф.1.9 Характеристика'!$AH$28&gt;=7500,1,0)</f>
        <v>0</v>
      </c>
      <c r="AK27" s="19">
        <f>IF('ф.1.9 Характеристика'!$AH$30&lt;0.1,1,0)</f>
        <v>1</v>
      </c>
      <c r="AL27" s="19">
        <f>IF('ф.1.9 Характеристика'!AH33&gt;=20,1,0)</f>
        <v>0</v>
      </c>
      <c r="AM27" s="19" t="s">
        <v>1413</v>
      </c>
      <c r="AN27" s="627">
        <v>9.6239000000000008</v>
      </c>
      <c r="AO27" s="56">
        <v>9.2490000000000003E-2</v>
      </c>
      <c r="AP27" s="56">
        <v>0.3</v>
      </c>
      <c r="AQ27" s="56">
        <v>0.3</v>
      </c>
    </row>
    <row r="28" spans="4:43" ht="27" customHeight="1" x14ac:dyDescent="0.15">
      <c r="D28" s="130">
        <v>36</v>
      </c>
      <c r="AB28" s="31">
        <v>2</v>
      </c>
      <c r="AC28" s="40" t="s">
        <v>1414</v>
      </c>
      <c r="AD28" s="19">
        <f>IF(SUM(AE28,AF28,AG28,AH28)=4,1,0)</f>
        <v>0</v>
      </c>
      <c r="AE28" s="19">
        <f>IF('ф.1.9 Характеристика'!$AD$28&gt;=7500,1,0)</f>
        <v>0</v>
      </c>
      <c r="AF28" s="19">
        <f>IF('ф.1.9 Характеристика'!$AD$30&lt;0.1,1,0)</f>
        <v>1</v>
      </c>
      <c r="AG28" s="19">
        <f>IF('ф.1.9 Характеристика'!AD33&lt;20,1,0)</f>
        <v>1</v>
      </c>
      <c r="AH28" s="19">
        <f>IF('ф.1.9 Характеристика'!AD32&lt;25000,1,0)</f>
        <v>1</v>
      </c>
      <c r="AI28" s="19">
        <f>IF(SUM(AJ28,AK28,AL28,AM28)=4,1,0)</f>
        <v>0</v>
      </c>
      <c r="AJ28" s="19">
        <f>IF('ф.1.9 Характеристика'!$AH$28&gt;=7500,1,0)</f>
        <v>0</v>
      </c>
      <c r="AK28" s="19">
        <f>IF('ф.1.9 Характеристика'!$AH$30&lt;0.1,1,0)</f>
        <v>1</v>
      </c>
      <c r="AL28" s="19">
        <f>IF('ф.1.9 Характеристика'!AH33&lt;20,1,0)</f>
        <v>1</v>
      </c>
      <c r="AM28" s="19">
        <f>IF('ф.1.9 Характеристика'!AH32&lt;25000,1,0)</f>
        <v>1</v>
      </c>
      <c r="AN28" s="56">
        <v>4.7397600000000004</v>
      </c>
      <c r="AO28" s="56">
        <v>8.9580000000000007E-2</v>
      </c>
      <c r="AP28" s="56">
        <v>0.3</v>
      </c>
      <c r="AQ28" s="56">
        <v>0.3</v>
      </c>
    </row>
    <row r="29" spans="4:43" ht="27" customHeight="1" x14ac:dyDescent="0.15">
      <c r="D29" s="130">
        <v>36</v>
      </c>
      <c r="AB29" s="31" t="s">
        <v>143</v>
      </c>
      <c r="AC29" s="40" t="s">
        <v>1415</v>
      </c>
      <c r="AD29" s="19">
        <f>IF(SUM(AE29,AF29,AG29)=3,1,0)</f>
        <v>0</v>
      </c>
      <c r="AE29" s="19">
        <f>IF('ф.1.9 Характеристика'!$AD$28&gt;=7500,1,0)</f>
        <v>0</v>
      </c>
      <c r="AF29" s="19">
        <f>IF('ф.1.9 Характеристика'!$AD$30&lt;0.1,1,0)</f>
        <v>1</v>
      </c>
      <c r="AG29" s="19">
        <f>IF('ф.1.9 Характеристика'!AD33&lt;20,1,0)</f>
        <v>1</v>
      </c>
      <c r="AH29" s="19">
        <f>IF('ф.1.9 Характеристика'!AD32&gt;=25000,1,0)</f>
        <v>0</v>
      </c>
      <c r="AI29" s="19">
        <f>IF(SUM(AJ29,AK29,AL29)=3,1,0)</f>
        <v>0</v>
      </c>
      <c r="AJ29" s="19">
        <f>IF('ф.1.9 Характеристика'!$AH$28&gt;=7500,1,0)</f>
        <v>0</v>
      </c>
      <c r="AK29" s="19">
        <f>IF('ф.1.9 Характеристика'!$AH$30&lt;0.1,1,0)</f>
        <v>1</v>
      </c>
      <c r="AL29" s="19">
        <f>IF('ф.1.9 Характеристика'!AH33&lt;20,1,0)</f>
        <v>1</v>
      </c>
      <c r="AM29" s="19" t="s">
        <v>1413</v>
      </c>
      <c r="AN29" s="56">
        <v>2.9252099999999999</v>
      </c>
      <c r="AO29" s="56">
        <v>9.1189999999999993E-2</v>
      </c>
      <c r="AP29" s="56">
        <v>0.3</v>
      </c>
      <c r="AQ29" s="56">
        <v>0.3</v>
      </c>
    </row>
    <row r="30" spans="4:43" ht="15.75" customHeight="1" x14ac:dyDescent="0.15">
      <c r="D30" s="130">
        <v>21</v>
      </c>
      <c r="AB30" s="31" t="s">
        <v>151</v>
      </c>
      <c r="AC30" s="40" t="s">
        <v>1416</v>
      </c>
      <c r="AD30" s="19">
        <f>IF(SUM(AE30,AF30,)=2,1,0)</f>
        <v>0</v>
      </c>
      <c r="AE30" s="19">
        <f>IF('ф.1.9 Характеристика'!$AD$28&gt;=7500,1,0)</f>
        <v>0</v>
      </c>
      <c r="AF30" s="19">
        <f>IF(OR('ф.1.9 Характеристика'!$AD$30&gt;0.1,'ф.1.9 Характеристика'!$AD$30=0.1),1,0)</f>
        <v>0</v>
      </c>
      <c r="AG30" s="40"/>
      <c r="AH30" s="40"/>
      <c r="AI30" s="19">
        <f>IF(SUM(AJ30,AK30,)=2,1,0)</f>
        <v>0</v>
      </c>
      <c r="AJ30" s="19">
        <f>IF('ф.1.9 Характеристика'!$AH$28&gt;=7500,1,0)</f>
        <v>0</v>
      </c>
      <c r="AK30" s="19">
        <f>IF(OR('ф.1.9 Характеристика'!$AH$30&gt;0.1,'ф.1.9 Характеристика'!$AH$30=0.1),1,0)</f>
        <v>0</v>
      </c>
      <c r="AL30" s="19" t="s">
        <v>1413</v>
      </c>
      <c r="AM30" s="19" t="s">
        <v>1413</v>
      </c>
      <c r="AN30" s="56">
        <v>3.3357999999999999</v>
      </c>
      <c r="AO30" s="56">
        <v>0.13389999999999999</v>
      </c>
      <c r="AP30" s="56">
        <v>0.3</v>
      </c>
      <c r="AQ30" s="56">
        <v>0.3</v>
      </c>
    </row>
    <row r="31" spans="4:43" ht="15.75" customHeight="1" x14ac:dyDescent="0.15">
      <c r="D31" s="130">
        <v>21</v>
      </c>
      <c r="AB31" s="31" t="s">
        <v>158</v>
      </c>
      <c r="AC31" s="40" t="s">
        <v>1417</v>
      </c>
      <c r="AD31" s="19">
        <f>IF(SUM(AE31,AF31,)=2,1,0)</f>
        <v>0</v>
      </c>
      <c r="AE31" s="19">
        <f>IF(AND('ф.1.9 Характеристика'!$AD$28&gt;=10,'ф.1.9 Характеристика'!$AD$28&lt;7500),1,0)</f>
        <v>1</v>
      </c>
      <c r="AF31" s="19">
        <f>IF(OR('ф.1.9 Характеристика'!$AD$30&gt;0.3,'ф.1.9 Характеристика'!$AD$30=0.3),1,0)</f>
        <v>0</v>
      </c>
      <c r="AG31" s="40"/>
      <c r="AH31" s="40"/>
      <c r="AI31" s="19">
        <f>IF(SUM(AJ31,AK31,)=2,1,0)</f>
        <v>0</v>
      </c>
      <c r="AJ31" s="19">
        <f>IF(AND('ф.1.9 Характеристика'!$AH$28&gt;=10,'ф.1.9 Характеристика'!$AH$28&lt;7500),1,0)</f>
        <v>0</v>
      </c>
      <c r="AK31" s="19">
        <f>IF(OR('ф.1.9 Характеристика'!$AH$30&gt;0.3,'ф.1.9 Характеристика'!$AH$30=0.3),1,0)</f>
        <v>0</v>
      </c>
      <c r="AL31" s="19" t="s">
        <v>1413</v>
      </c>
      <c r="AM31" s="19" t="s">
        <v>1413</v>
      </c>
      <c r="AN31" s="56">
        <v>2.3309799999999998</v>
      </c>
      <c r="AO31" s="56">
        <v>0.21967999999999999</v>
      </c>
      <c r="AP31" s="56">
        <v>0.3</v>
      </c>
      <c r="AQ31" s="56">
        <v>0.3</v>
      </c>
    </row>
    <row r="32" spans="4:43" ht="27" customHeight="1" x14ac:dyDescent="0.15">
      <c r="D32" s="130">
        <v>36</v>
      </c>
      <c r="AB32" s="31" t="s">
        <v>703</v>
      </c>
      <c r="AC32" s="40" t="s">
        <v>1418</v>
      </c>
      <c r="AD32" s="19">
        <f>IF(SUM(AE32,AF32,AG32,AH32)=4,1,0)</f>
        <v>1</v>
      </c>
      <c r="AE32" s="19">
        <f>IF(AND('ф.1.9 Характеристика'!$AD$28&gt;=10,'ф.1.9 Характеристика'!$AD$28&lt;7500),1,0)</f>
        <v>1</v>
      </c>
      <c r="AF32" s="19">
        <f>IF('ф.1.9 Характеристика'!$AD$30&lt;0.3,1,0)</f>
        <v>1</v>
      </c>
      <c r="AG32" s="19">
        <f>IF('ф.1.9 Характеристика'!$AG$30&lt;20,1,0)</f>
        <v>1</v>
      </c>
      <c r="AH32" s="19">
        <f>IF('ф.1.9 Характеристика'!AD31&lt;10000,1,0)</f>
        <v>1</v>
      </c>
      <c r="AI32" s="19">
        <f>IF(SUM(AJ32,AK32,AL32,AM32)=4,1,0)</f>
        <v>0</v>
      </c>
      <c r="AJ32" s="19">
        <f>IF(AND('ф.1.9 Характеристика'!$AH$28&gt;=10,'ф.1.9 Характеристика'!$AH$28&lt;7500),1,0)</f>
        <v>0</v>
      </c>
      <c r="AK32" s="19">
        <f>IF('ф.1.9 Характеристика'!$AH$30&lt;0.3,1,0)</f>
        <v>1</v>
      </c>
      <c r="AL32" s="19">
        <f>IF('ф.1.9 Характеристика'!$AK$30&lt;20,1,0)</f>
        <v>1</v>
      </c>
      <c r="AM32" s="19">
        <f>IF('ф.1.9 Характеристика'!AH31&lt;10000,1,0)</f>
        <v>1</v>
      </c>
      <c r="AN32" s="56">
        <v>4.5054600000000002</v>
      </c>
      <c r="AO32" s="56">
        <v>0.28361999999999998</v>
      </c>
      <c r="AP32" s="56">
        <v>0.3</v>
      </c>
      <c r="AQ32" s="56">
        <v>0.3</v>
      </c>
    </row>
    <row r="33" spans="4:43" ht="27" customHeight="1" x14ac:dyDescent="0.15">
      <c r="D33" s="130">
        <v>36</v>
      </c>
      <c r="AB33" s="31" t="s">
        <v>704</v>
      </c>
      <c r="AC33" s="40" t="s">
        <v>1419</v>
      </c>
      <c r="AD33" s="19">
        <f>IF(SUM(AE33,AF33,AG33,AH33)=4,1,0)</f>
        <v>0</v>
      </c>
      <c r="AE33" s="19">
        <f>IF(AND('ф.1.9 Характеристика'!$AD$28&gt;=10,'ф.1.9 Характеристика'!$AD$28&lt;7500),1,0)</f>
        <v>1</v>
      </c>
      <c r="AF33" s="19">
        <f>IF('ф.1.9 Характеристика'!$AD$30&lt;0.3,1,0)</f>
        <v>1</v>
      </c>
      <c r="AG33" s="19">
        <f>IF('ф.1.9 Характеристика'!$AG$30&lt;20,1,0)</f>
        <v>1</v>
      </c>
      <c r="AH33" s="19">
        <f>IF('ф.1.9 Характеристика'!AD31&gt;=10000,1,0)</f>
        <v>0</v>
      </c>
      <c r="AI33" s="19">
        <f>IF(SUM(AJ33,AK33,AL33,AM33)=4,1,0)</f>
        <v>0</v>
      </c>
      <c r="AJ33" s="19">
        <f>IF(AND('ф.1.9 Характеристика'!$AH$28&gt;=10,'ф.1.9 Характеристика'!$AH$28&lt;7500),1,0)</f>
        <v>0</v>
      </c>
      <c r="AK33" s="19">
        <f>IF('ф.1.9 Характеристика'!$AH$30&lt;0.3,1,0)</f>
        <v>1</v>
      </c>
      <c r="AL33" s="19">
        <f>IF('ф.1.9 Характеристика'!$AK$30&lt;20,1,0)</f>
        <v>1</v>
      </c>
      <c r="AM33" s="19">
        <f>IF('ф.1.9 Характеристика'!AH31&gt;=10000,1,0)</f>
        <v>0</v>
      </c>
      <c r="AN33" s="56">
        <v>6.1130899999999997</v>
      </c>
      <c r="AO33" s="56">
        <v>0.1817</v>
      </c>
      <c r="AP33" s="56">
        <v>0.3</v>
      </c>
      <c r="AQ33" s="56">
        <v>0.3</v>
      </c>
    </row>
    <row r="34" spans="4:43" ht="27" customHeight="1" x14ac:dyDescent="0.15">
      <c r="D34" s="130">
        <v>36</v>
      </c>
      <c r="AB34" s="31" t="s">
        <v>705</v>
      </c>
      <c r="AC34" s="40" t="s">
        <v>1420</v>
      </c>
      <c r="AD34" s="19">
        <f>IF(SUM(AE34,AF34,AG34)=3,1,0)</f>
        <v>0</v>
      </c>
      <c r="AE34" s="19">
        <f>IF(AND('ф.1.9 Характеристика'!$AD$28&gt;=10,'ф.1.9 Характеристика'!$AD$28&lt;7500),1,0)</f>
        <v>1</v>
      </c>
      <c r="AF34" s="19">
        <f>IF('ф.1.9 Характеристика'!$AD$30&lt;0.3,1,0)</f>
        <v>1</v>
      </c>
      <c r="AG34" s="19">
        <f>IF('ф.1.9 Характеристика'!$AG$30&gt;=20,1,0)</f>
        <v>0</v>
      </c>
      <c r="AH34" s="40"/>
      <c r="AI34" s="19">
        <f>IF(SUM(AJ34,AK34,AL34)=3,1,0)</f>
        <v>0</v>
      </c>
      <c r="AJ34" s="19">
        <f>IF(AND('ф.1.9 Характеристика'!$AH$28&gt;=10,'ф.1.9 Характеристика'!$AH$28&lt;7500),1,0)</f>
        <v>0</v>
      </c>
      <c r="AK34" s="19">
        <f>IF('ф.1.9 Характеристика'!$AH$30&lt;0.3,1,0)</f>
        <v>1</v>
      </c>
      <c r="AL34" s="19">
        <f>IF('ф.1.9 Характеристика'!$AK$30&gt;=20,1,0)</f>
        <v>0</v>
      </c>
      <c r="AM34" s="19" t="s">
        <v>1413</v>
      </c>
      <c r="AN34" s="56">
        <v>5.8507600000000002</v>
      </c>
      <c r="AO34" s="56">
        <v>0.18958</v>
      </c>
      <c r="AP34" s="56">
        <v>0.3</v>
      </c>
      <c r="AQ34" s="56">
        <v>0.3</v>
      </c>
    </row>
    <row r="35" spans="4:43" ht="15.75" customHeight="1" x14ac:dyDescent="0.15">
      <c r="D35" s="130">
        <v>21</v>
      </c>
      <c r="AB35" s="31" t="s">
        <v>706</v>
      </c>
      <c r="AC35" s="40" t="s">
        <v>1421</v>
      </c>
      <c r="AD35" s="19">
        <f>AE35</f>
        <v>0</v>
      </c>
      <c r="AE35" s="19">
        <f>IF('ф.1.9 Характеристика'!$AD$28&lt;10,1,0)</f>
        <v>0</v>
      </c>
      <c r="AF35" s="40"/>
      <c r="AG35" s="40"/>
      <c r="AH35" s="40"/>
      <c r="AI35" s="19">
        <f>AJ35</f>
        <v>1</v>
      </c>
      <c r="AJ35" s="19">
        <f>IF('ф.1.9 Характеристика'!$AH$28&lt;10,1,0)</f>
        <v>1</v>
      </c>
      <c r="AK35" s="19" t="s">
        <v>1413</v>
      </c>
      <c r="AL35" s="19" t="s">
        <v>1413</v>
      </c>
      <c r="AM35" s="19" t="s">
        <v>1413</v>
      </c>
      <c r="AN35" s="56">
        <v>1.3036799999999999</v>
      </c>
      <c r="AO35" s="56">
        <v>0.19006999999999999</v>
      </c>
      <c r="AP35" s="56">
        <v>0.3</v>
      </c>
      <c r="AQ35" s="56">
        <v>0.3</v>
      </c>
    </row>
    <row r="36" spans="4:43" ht="15.75" customHeight="1" x14ac:dyDescent="0.15">
      <c r="D36" s="130">
        <v>21</v>
      </c>
      <c r="AC36" s="628"/>
      <c r="AD36" s="628"/>
      <c r="AE36" s="628"/>
      <c r="AF36" s="628"/>
      <c r="AG36" s="628"/>
      <c r="AH36" s="628"/>
      <c r="AI36" s="628"/>
      <c r="AJ36" s="628"/>
      <c r="AK36" s="628"/>
      <c r="AL36" s="628"/>
      <c r="AM36" s="628"/>
      <c r="AO36" s="18"/>
      <c r="AP36" s="18"/>
      <c r="AQ36" s="18"/>
    </row>
    <row r="37" spans="4:43" ht="31.5" customHeight="1" x14ac:dyDescent="0.15">
      <c r="D37" s="130">
        <v>42</v>
      </c>
      <c r="AB37" s="740" t="s">
        <v>1422</v>
      </c>
      <c r="AC37" s="740"/>
      <c r="AD37" s="740"/>
      <c r="AE37" s="740"/>
      <c r="AF37" s="740"/>
      <c r="AG37" s="740"/>
      <c r="AH37" s="740"/>
      <c r="AI37" s="740"/>
      <c r="AJ37" s="740"/>
      <c r="AK37" s="740"/>
      <c r="AL37" s="740"/>
      <c r="AM37" s="740"/>
      <c r="AN37" s="740"/>
      <c r="AO37" s="740"/>
      <c r="AP37" s="740"/>
      <c r="AQ37" s="740"/>
    </row>
    <row r="38" spans="4:43" ht="6" customHeight="1" x14ac:dyDescent="0.15">
      <c r="D38" s="130">
        <v>8</v>
      </c>
    </row>
    <row r="39" spans="4:43" ht="42.75" customHeight="1" x14ac:dyDescent="0.15">
      <c r="D39" s="130">
        <v>57</v>
      </c>
      <c r="AB39" s="680" t="s">
        <v>687</v>
      </c>
      <c r="AC39" s="682" t="s">
        <v>1402</v>
      </c>
      <c r="AD39" s="680" t="s">
        <v>1403</v>
      </c>
      <c r="AE39" s="680" t="s">
        <v>1404</v>
      </c>
      <c r="AF39" s="680" t="s">
        <v>1405</v>
      </c>
      <c r="AG39" s="681"/>
      <c r="AH39" s="681"/>
      <c r="AI39" s="680" t="s">
        <v>1411</v>
      </c>
      <c r="AJ39" s="680" t="s">
        <v>1404</v>
      </c>
      <c r="AK39" s="680" t="s">
        <v>1405</v>
      </c>
      <c r="AL39" s="681"/>
      <c r="AM39" s="681"/>
      <c r="AN39" s="680" t="s">
        <v>1408</v>
      </c>
      <c r="AO39" s="680" t="s">
        <v>1409</v>
      </c>
      <c r="AP39" s="680" t="s">
        <v>1410</v>
      </c>
      <c r="AQ39" s="680"/>
    </row>
    <row r="40" spans="4:43" ht="15.75" customHeight="1" x14ac:dyDescent="0.15">
      <c r="D40" s="130">
        <v>21</v>
      </c>
      <c r="AB40" s="680"/>
      <c r="AC40" s="682"/>
      <c r="AD40" s="680"/>
      <c r="AE40" s="680"/>
      <c r="AF40" s="680"/>
      <c r="AG40" s="674"/>
      <c r="AH40" s="674"/>
      <c r="AI40" s="680"/>
      <c r="AJ40" s="680"/>
      <c r="AK40" s="680"/>
      <c r="AL40" s="674"/>
      <c r="AM40" s="674"/>
      <c r="AN40" s="680"/>
      <c r="AO40" s="680"/>
      <c r="AP40" s="31" t="str">
        <f>IF(FIRST_PERIOD_IN_LT="","Не определено",FIRST_PERIOD_IN_LT)&amp;" год"</f>
        <v>2025 год</v>
      </c>
      <c r="AQ40" s="31" t="str">
        <f>IF(FIRST_PERIOD_IN_LT="","Не определено",FIRST_PERIOD_IN_LT+1)&amp;" год"</f>
        <v>2026 год</v>
      </c>
    </row>
    <row r="41" spans="4:43" ht="12.75" customHeight="1" x14ac:dyDescent="0.15">
      <c r="D41" s="130">
        <v>17</v>
      </c>
      <c r="AB41" s="88">
        <v>1</v>
      </c>
      <c r="AC41" s="88">
        <v>2</v>
      </c>
      <c r="AD41" s="88">
        <v>3</v>
      </c>
      <c r="AE41" s="88">
        <v>4</v>
      </c>
      <c r="AF41" s="88">
        <v>5</v>
      </c>
      <c r="AG41" s="88">
        <v>6</v>
      </c>
      <c r="AH41" s="88">
        <v>7</v>
      </c>
      <c r="AN41" s="88">
        <v>8</v>
      </c>
      <c r="AO41" s="88">
        <v>9</v>
      </c>
      <c r="AP41" s="88">
        <v>10</v>
      </c>
      <c r="AQ41" s="88">
        <v>11</v>
      </c>
    </row>
    <row r="42" spans="4:43" ht="15.75" customHeight="1" x14ac:dyDescent="0.15">
      <c r="D42" s="130">
        <v>21</v>
      </c>
      <c r="AB42" s="31">
        <v>1</v>
      </c>
      <c r="AC42" s="40" t="s">
        <v>1423</v>
      </c>
      <c r="AD42" s="19">
        <f t="shared" ref="AD42:AD47" si="0">IF(SUM(AE42,AF42,)=2,1,0)</f>
        <v>0</v>
      </c>
      <c r="AE42" s="19">
        <f>IF('ф.1.9 Характеристика'!$AD$28&gt;=7500,1,0)</f>
        <v>0</v>
      </c>
      <c r="AF42" s="19">
        <f>IF('ф.1.9 Характеристика'!$AD$30&lt;0.1,1,0)</f>
        <v>1</v>
      </c>
      <c r="AG42" s="40"/>
      <c r="AH42" s="40"/>
      <c r="AI42" s="19">
        <f t="shared" ref="AI42:AI47" si="1">IF(SUM(AJ42,AK42,)=2,1,0)</f>
        <v>0</v>
      </c>
      <c r="AJ42" s="19">
        <f>IF('ф.1.9 Характеристика'!$AH$28&gt;=7500,1,0)</f>
        <v>0</v>
      </c>
      <c r="AK42" s="19">
        <f>IF('ф.1.9 Характеристика'!$AH$30&lt;0.1,1,0)</f>
        <v>1</v>
      </c>
      <c r="AL42" s="40"/>
      <c r="AM42" s="40"/>
      <c r="AN42" s="56">
        <v>1.9674400000000001</v>
      </c>
      <c r="AO42" s="56">
        <v>7.9000000000000001E-2</v>
      </c>
      <c r="AP42" s="56">
        <v>0.3</v>
      </c>
      <c r="AQ42" s="56">
        <v>0.3</v>
      </c>
    </row>
    <row r="43" spans="4:43" ht="15.75" customHeight="1" x14ac:dyDescent="0.15">
      <c r="D43" s="130">
        <v>21</v>
      </c>
      <c r="AB43" s="31">
        <v>2</v>
      </c>
      <c r="AC43" s="40" t="s">
        <v>1416</v>
      </c>
      <c r="AD43" s="19">
        <f t="shared" si="0"/>
        <v>0</v>
      </c>
      <c r="AE43" s="19">
        <f>IF('ф.1.9 Характеристика'!$AD$28&gt;=7500,1,0)</f>
        <v>0</v>
      </c>
      <c r="AF43" s="19">
        <f>IF(OR('ф.1.9 Характеристика'!$AD$30&gt;0.1,'ф.1.9 Характеристика'!$AD$30=0.1),1,0)</f>
        <v>0</v>
      </c>
      <c r="AG43" s="40"/>
      <c r="AH43" s="40"/>
      <c r="AI43" s="19">
        <f t="shared" si="1"/>
        <v>0</v>
      </c>
      <c r="AJ43" s="19">
        <f>IF('ф.1.9 Характеристика'!$AH$28&gt;=7500,1,0)</f>
        <v>0</v>
      </c>
      <c r="AK43" s="19">
        <f>IF(OR('ф.1.9 Характеристика'!$AH$30&gt;0.1,'ф.1.9 Характеристика'!$AH$30=0.1),1,0)</f>
        <v>0</v>
      </c>
      <c r="AL43" s="40"/>
      <c r="AM43" s="40"/>
      <c r="AN43" s="56">
        <v>1.2335499999999999</v>
      </c>
      <c r="AO43" s="56">
        <v>0.13947999999999999</v>
      </c>
      <c r="AP43" s="56">
        <v>0.3</v>
      </c>
      <c r="AQ43" s="56">
        <v>0.3</v>
      </c>
    </row>
    <row r="44" spans="4:43" ht="15.75" customHeight="1" x14ac:dyDescent="0.15">
      <c r="D44" s="130">
        <v>21</v>
      </c>
      <c r="AB44" s="31" t="s">
        <v>143</v>
      </c>
      <c r="AC44" s="40" t="s">
        <v>1424</v>
      </c>
      <c r="AD44" s="19">
        <f t="shared" si="0"/>
        <v>1</v>
      </c>
      <c r="AE44" s="19">
        <f>IF(AND('ф.1.9 Характеристика'!$AD$28&gt;=3000,'ф.1.9 Характеристика'!$AD$28&lt;7500),1,0)</f>
        <v>1</v>
      </c>
      <c r="AF44" s="19">
        <f>IF('ф.1.9 Характеристика'!$AD$30&lt;0.15,1,0)</f>
        <v>1</v>
      </c>
      <c r="AG44" s="40"/>
      <c r="AH44" s="40"/>
      <c r="AI44" s="19">
        <f t="shared" si="1"/>
        <v>0</v>
      </c>
      <c r="AJ44" s="19">
        <f>IF(AND('ф.1.9 Характеристика'!$AH$28&gt;=3000,'ф.1.9 Характеристика'!$AH$28&lt;7500),1,0)</f>
        <v>0</v>
      </c>
      <c r="AK44" s="19">
        <f>IF('ф.1.9 Характеристика'!$AH$30&lt;0.15,1,0)</f>
        <v>1</v>
      </c>
      <c r="AL44" s="40"/>
      <c r="AM44" s="40"/>
      <c r="AN44" s="56">
        <v>1.78816</v>
      </c>
      <c r="AO44" s="56">
        <v>0.14552999999999999</v>
      </c>
      <c r="AP44" s="56">
        <v>0.3</v>
      </c>
      <c r="AQ44" s="56">
        <v>0.3</v>
      </c>
    </row>
    <row r="45" spans="4:43" ht="15.75" customHeight="1" x14ac:dyDescent="0.15">
      <c r="D45" s="130">
        <v>21</v>
      </c>
      <c r="AB45" s="31" t="s">
        <v>151</v>
      </c>
      <c r="AC45" s="40" t="s">
        <v>1425</v>
      </c>
      <c r="AD45" s="19">
        <f t="shared" si="0"/>
        <v>0</v>
      </c>
      <c r="AE45" s="19">
        <f>IF(AND('ф.1.9 Характеристика'!$AD$28&gt;=3000,'ф.1.9 Характеристика'!$AD$28&lt;7500),1,0)</f>
        <v>1</v>
      </c>
      <c r="AF45" s="19">
        <f>IF(OR('ф.1.9 Характеристика'!$AD$30&gt;0.15,'ф.1.9 Характеристика'!$AD$30=0.15),1,0)</f>
        <v>0</v>
      </c>
      <c r="AG45" s="40"/>
      <c r="AH45" s="40"/>
      <c r="AI45" s="19">
        <f t="shared" si="1"/>
        <v>0</v>
      </c>
      <c r="AJ45" s="19">
        <f>IF(AND('ф.1.9 Характеристика'!$AH$28&gt;=3000,'ф.1.9 Характеристика'!$AH$28&lt;7500),1,0)</f>
        <v>0</v>
      </c>
      <c r="AK45" s="19">
        <f>IF(OR('ф.1.9 Характеристика'!$AH$30&gt;0.15,'ф.1.9 Характеристика'!$AH$30=0.15),1,0)</f>
        <v>0</v>
      </c>
      <c r="AL45" s="40"/>
      <c r="AM45" s="40"/>
      <c r="AN45" s="56">
        <v>0.75107999999999997</v>
      </c>
      <c r="AO45" s="56">
        <v>0.17702000000000001</v>
      </c>
      <c r="AP45" s="56">
        <v>0.3</v>
      </c>
      <c r="AQ45" s="56">
        <v>0.3</v>
      </c>
    </row>
    <row r="46" spans="4:43" ht="15.75" customHeight="1" x14ac:dyDescent="0.15">
      <c r="D46" s="130">
        <v>21</v>
      </c>
      <c r="AB46" s="31" t="s">
        <v>158</v>
      </c>
      <c r="AC46" s="40" t="s">
        <v>1426</v>
      </c>
      <c r="AD46" s="19">
        <f t="shared" si="0"/>
        <v>0</v>
      </c>
      <c r="AE46" s="19">
        <f>IF(AND('ф.1.9 Характеристика'!$AD$28&gt;=100,'ф.1.9 Характеристика'!$AD$28&lt;3000),1,0)</f>
        <v>0</v>
      </c>
      <c r="AF46" s="19">
        <f>IF(OR('ф.1.9 Характеристика'!$AD$30&gt;0.35,'ф.1.9 Характеристика'!$AD$30=0.35),1,0)</f>
        <v>0</v>
      </c>
      <c r="AG46" s="40"/>
      <c r="AH46" s="40"/>
      <c r="AI46" s="19">
        <f t="shared" si="1"/>
        <v>0</v>
      </c>
      <c r="AJ46" s="19">
        <f>IF(AND('ф.1.9 Характеристика'!$AH$28&gt;=100,'ф.1.9 Характеристика'!$AH$28&lt;3000),1,0)</f>
        <v>0</v>
      </c>
      <c r="AK46" s="19">
        <f>IF(OR('ф.1.9 Характеристика'!$AH$30&gt;0.35,'ф.1.9 Характеристика'!$AH$30=0.35),1,0)</f>
        <v>0</v>
      </c>
      <c r="AL46" s="40"/>
      <c r="AM46" s="40"/>
      <c r="AN46" s="56">
        <v>0.56438999999999995</v>
      </c>
      <c r="AO46" s="56">
        <v>0.17379</v>
      </c>
      <c r="AP46" s="56">
        <v>0.3</v>
      </c>
      <c r="AQ46" s="56">
        <v>0.3</v>
      </c>
    </row>
    <row r="47" spans="4:43" ht="15.75" customHeight="1" x14ac:dyDescent="0.15">
      <c r="D47" s="130">
        <v>21</v>
      </c>
      <c r="AB47" s="31" t="s">
        <v>703</v>
      </c>
      <c r="AC47" s="40" t="s">
        <v>1427</v>
      </c>
      <c r="AD47" s="19">
        <f t="shared" si="0"/>
        <v>0</v>
      </c>
      <c r="AE47" s="19">
        <f>IF(AND('ф.1.9 Характеристика'!$AD$28&gt;=100,'ф.1.9 Характеристика'!$AD$28&lt;3000),1,0)</f>
        <v>0</v>
      </c>
      <c r="AF47" s="19">
        <f>IF('ф.1.9 Характеристика'!$AD$30&lt;0.35,1,0)</f>
        <v>1</v>
      </c>
      <c r="AG47" s="40"/>
      <c r="AH47" s="40"/>
      <c r="AI47" s="19">
        <f t="shared" si="1"/>
        <v>0</v>
      </c>
      <c r="AJ47" s="19">
        <f>IF(AND('ф.1.9 Характеристика'!$AH$28&gt;=100,'ф.1.9 Характеристика'!$AH$28&lt;3000),1,0)</f>
        <v>0</v>
      </c>
      <c r="AK47" s="19">
        <f>IF('ф.1.9 Характеристика'!$AH$30&lt;0.35,1,0)</f>
        <v>1</v>
      </c>
      <c r="AL47" s="40"/>
      <c r="AM47" s="40"/>
      <c r="AN47" s="56">
        <v>1.0079499999999999</v>
      </c>
      <c r="AO47" s="56">
        <v>0.16106999999999999</v>
      </c>
      <c r="AP47" s="56">
        <v>0.3</v>
      </c>
      <c r="AQ47" s="56">
        <v>0.3</v>
      </c>
    </row>
    <row r="48" spans="4:43" ht="15.75" customHeight="1" x14ac:dyDescent="0.15">
      <c r="D48" s="130">
        <v>21</v>
      </c>
      <c r="AB48" s="31" t="s">
        <v>704</v>
      </c>
      <c r="AC48" s="40" t="s">
        <v>1428</v>
      </c>
      <c r="AD48" s="19">
        <f>AE48</f>
        <v>0</v>
      </c>
      <c r="AE48" s="19">
        <f>IF(AND('ф.1.9 Характеристика'!$AD$28&gt;=10,'ф.1.9 Характеристика'!$AD$28&lt;100),1,0)</f>
        <v>0</v>
      </c>
      <c r="AF48" s="40"/>
      <c r="AG48" s="40"/>
      <c r="AH48" s="40"/>
      <c r="AI48" s="19">
        <f>AJ48</f>
        <v>0</v>
      </c>
      <c r="AJ48" s="19">
        <f>IF(AND('ф.1.9 Характеристика'!$AH$28&gt;=10,'ф.1.9 Характеристика'!$AH$28&lt;100),1,0)</f>
        <v>0</v>
      </c>
      <c r="AK48" s="19" t="s">
        <v>1413</v>
      </c>
      <c r="AL48" s="40"/>
      <c r="AM48" s="40"/>
      <c r="AN48" s="56">
        <v>0.78503000000000001</v>
      </c>
      <c r="AO48" s="56">
        <v>0.24091000000000001</v>
      </c>
      <c r="AP48" s="56">
        <v>0.3</v>
      </c>
      <c r="AQ48" s="56">
        <v>0.3</v>
      </c>
    </row>
    <row r="49" spans="4:44" ht="15.75" customHeight="1" x14ac:dyDescent="0.15">
      <c r="D49" s="130">
        <v>21</v>
      </c>
      <c r="AB49" s="31" t="s">
        <v>705</v>
      </c>
      <c r="AC49" s="40" t="s">
        <v>1421</v>
      </c>
      <c r="AD49" s="19">
        <f>AE49</f>
        <v>0</v>
      </c>
      <c r="AE49" s="19">
        <f>IF('ф.1.9 Характеристика'!$AD$28&lt;10,1,0)</f>
        <v>0</v>
      </c>
      <c r="AF49" s="40"/>
      <c r="AG49" s="40"/>
      <c r="AH49" s="40"/>
      <c r="AI49" s="19">
        <f>AJ49</f>
        <v>1</v>
      </c>
      <c r="AJ49" s="19">
        <f>IF('ф.1.9 Характеристика'!$AH$28&lt;10,1,0)</f>
        <v>1</v>
      </c>
      <c r="AK49" s="19" t="s">
        <v>1413</v>
      </c>
      <c r="AL49" s="40"/>
      <c r="AM49" s="40"/>
      <c r="AN49" s="56">
        <v>0.92642000000000002</v>
      </c>
      <c r="AO49" s="56">
        <v>0.12407</v>
      </c>
      <c r="AP49" s="56">
        <v>0.3</v>
      </c>
      <c r="AQ49" s="56">
        <v>0.3</v>
      </c>
    </row>
    <row r="50" spans="4:44" ht="11.25" hidden="1" customHeight="1" x14ac:dyDescent="0.15">
      <c r="D50" s="131">
        <v>0</v>
      </c>
      <c r="AR50" t="s">
        <v>71</v>
      </c>
    </row>
  </sheetData>
  <sheetProtection formatColumns="0" formatRows="0" insertRows="0" deleteColumns="0" deleteRows="0" sort="0" autoFilter="0"/>
  <mergeCells count="29">
    <mergeCell ref="AB37:AQ37"/>
    <mergeCell ref="AB39:AB40"/>
    <mergeCell ref="AC39:AC40"/>
    <mergeCell ref="AD39:AD40"/>
    <mergeCell ref="AE39:AE40"/>
    <mergeCell ref="AF39:AF40"/>
    <mergeCell ref="AG39:AG40"/>
    <mergeCell ref="AH39:AH40"/>
    <mergeCell ref="AN39:AN40"/>
    <mergeCell ref="AI39:AI40"/>
    <mergeCell ref="AJ39:AJ40"/>
    <mergeCell ref="AK39:AK40"/>
    <mergeCell ref="AL39:AL40"/>
    <mergeCell ref="AM39:AM40"/>
    <mergeCell ref="AO39:AO40"/>
    <mergeCell ref="AP39:AQ39"/>
    <mergeCell ref="AB21:AD21"/>
    <mergeCell ref="AB22:AQ22"/>
    <mergeCell ref="AB24:AB25"/>
    <mergeCell ref="AC24:AC25"/>
    <mergeCell ref="AD24:AD25"/>
    <mergeCell ref="AE24:AE25"/>
    <mergeCell ref="AF24:AF25"/>
    <mergeCell ref="AG24:AG25"/>
    <mergeCell ref="AH24:AH25"/>
    <mergeCell ref="AN24:AN25"/>
    <mergeCell ref="AO24:AO25"/>
    <mergeCell ref="AI24:AM24"/>
    <mergeCell ref="AP24:AQ24"/>
  </mergeCell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topLeftCell="AA20" workbookViewId="0">
      <selection activeCell="AA20" sqref="AA20"/>
    </sheetView>
  </sheetViews>
  <sheetFormatPr defaultColWidth="10.28515625" defaultRowHeight="11.25" customHeight="1" x14ac:dyDescent="0.15"/>
  <cols>
    <col min="1" max="1" width="6.85546875" style="166" hidden="1" customWidth="1"/>
    <col min="2" max="2" width="5.42578125" style="166" hidden="1" customWidth="1"/>
    <col min="3" max="3" width="10.28515625" style="166" hidden="1"/>
    <col min="4" max="4" width="2.42578125" style="166" hidden="1" customWidth="1"/>
    <col min="5" max="26" width="8.7109375" style="166" hidden="1" customWidth="1"/>
    <col min="27" max="27" width="3.7109375" style="166" customWidth="1"/>
    <col min="28" max="28" width="5.28515625" style="166" customWidth="1"/>
    <col min="29" max="29" width="106.7109375" style="166" customWidth="1"/>
    <col min="31" max="31" width="10.28515625" hidden="1"/>
  </cols>
  <sheetData>
    <row r="1" spans="1:31" ht="12.75" hidden="1" customHeight="1" x14ac:dyDescent="0.15">
      <c r="A1" s="182"/>
      <c r="B1" s="182"/>
      <c r="C1" s="182"/>
      <c r="D1" s="183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33" t="s">
        <v>681</v>
      </c>
      <c r="AB1" s="629" t="s">
        <v>682</v>
      </c>
      <c r="AC1" s="133" t="s">
        <v>683</v>
      </c>
      <c r="AD1" s="122" t="s">
        <v>685</v>
      </c>
      <c r="AE1" s="122"/>
    </row>
    <row r="2" spans="1:31" ht="12.75" hidden="1" customHeight="1" x14ac:dyDescent="0.15">
      <c r="A2" s="182"/>
      <c r="B2" s="182"/>
      <c r="C2" s="182"/>
      <c r="D2" s="183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B2" s="182"/>
      <c r="AD2" s="122"/>
      <c r="AE2" s="122"/>
    </row>
    <row r="3" spans="1:31" ht="11.25" hidden="1" customHeight="1" x14ac:dyDescent="0.15">
      <c r="A3" s="182"/>
      <c r="B3" s="182"/>
      <c r="C3" s="182"/>
      <c r="D3" s="183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B3" s="182"/>
      <c r="AD3" s="122"/>
      <c r="AE3" s="122"/>
    </row>
    <row r="4" spans="1:31" ht="12.75" hidden="1" customHeight="1" x14ac:dyDescent="0.15">
      <c r="A4" s="183"/>
      <c r="B4" s="183"/>
      <c r="C4" s="183"/>
      <c r="D4" s="183"/>
      <c r="E4" s="183">
        <v>61</v>
      </c>
      <c r="F4" s="183">
        <v>61</v>
      </c>
      <c r="G4" s="183">
        <v>61</v>
      </c>
      <c r="H4" s="183">
        <v>61</v>
      </c>
      <c r="I4" s="183">
        <v>61</v>
      </c>
      <c r="J4" s="183">
        <v>61</v>
      </c>
      <c r="K4" s="183">
        <v>61</v>
      </c>
      <c r="L4" s="183">
        <v>61</v>
      </c>
      <c r="M4" s="183">
        <v>61</v>
      </c>
      <c r="N4" s="183">
        <v>61</v>
      </c>
      <c r="O4" s="183">
        <v>61</v>
      </c>
      <c r="P4" s="183">
        <v>61</v>
      </c>
      <c r="Q4" s="183">
        <v>61</v>
      </c>
      <c r="R4" s="183">
        <v>61</v>
      </c>
      <c r="S4" s="183">
        <v>61</v>
      </c>
      <c r="T4" s="183">
        <v>61</v>
      </c>
      <c r="U4" s="183">
        <v>61</v>
      </c>
      <c r="V4" s="183">
        <v>61</v>
      </c>
      <c r="W4" s="183">
        <v>61</v>
      </c>
      <c r="X4" s="183">
        <v>61</v>
      </c>
      <c r="Y4" s="183">
        <v>61</v>
      </c>
      <c r="Z4" s="183">
        <v>61</v>
      </c>
      <c r="AA4" s="183">
        <v>26</v>
      </c>
      <c r="AB4" s="183">
        <v>37</v>
      </c>
      <c r="AC4" s="183">
        <v>747</v>
      </c>
      <c r="AD4" s="15">
        <v>72</v>
      </c>
      <c r="AE4" s="15">
        <v>0</v>
      </c>
    </row>
    <row r="5" spans="1:31" ht="26.25" hidden="1" customHeight="1" x14ac:dyDescent="0.15">
      <c r="A5" s="182"/>
      <c r="B5" s="182"/>
      <c r="C5" s="182"/>
      <c r="D5" s="183">
        <v>35</v>
      </c>
      <c r="E5" s="629" t="s">
        <v>686</v>
      </c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B5" s="182"/>
      <c r="AD5" s="122"/>
      <c r="AE5" s="122"/>
    </row>
    <row r="6" spans="1:31" ht="26.25" hidden="1" customHeight="1" x14ac:dyDescent="0.15">
      <c r="A6" s="182"/>
      <c r="B6" s="182"/>
      <c r="C6" s="182"/>
      <c r="D6" s="183">
        <v>35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B6" s="182"/>
      <c r="AD6" s="122"/>
      <c r="AE6" s="122"/>
    </row>
    <row r="7" spans="1:31" ht="26.25" hidden="1" customHeight="1" x14ac:dyDescent="0.15">
      <c r="A7" s="182"/>
      <c r="B7" s="182"/>
      <c r="C7" s="182"/>
      <c r="D7" s="183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B7" s="182"/>
      <c r="AD7" s="122"/>
      <c r="AE7" s="122"/>
    </row>
    <row r="8" spans="1:31" ht="26.25" hidden="1" customHeight="1" x14ac:dyDescent="0.15">
      <c r="A8" s="182"/>
      <c r="B8" s="182"/>
      <c r="C8" s="182"/>
      <c r="D8" s="183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B8" s="182"/>
      <c r="AD8" s="122"/>
      <c r="AE8" s="122"/>
    </row>
    <row r="9" spans="1:31" ht="26.25" hidden="1" customHeight="1" x14ac:dyDescent="0.15">
      <c r="A9" s="182"/>
      <c r="B9" s="182"/>
      <c r="C9" s="182"/>
      <c r="D9" s="183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B9" s="182"/>
      <c r="AD9" s="122"/>
      <c r="AE9" s="122"/>
    </row>
    <row r="10" spans="1:31" ht="26.25" hidden="1" customHeight="1" x14ac:dyDescent="0.15">
      <c r="A10" s="182"/>
      <c r="B10" s="182"/>
      <c r="C10" s="182"/>
      <c r="D10" s="183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B10" s="182"/>
      <c r="AD10" s="122"/>
      <c r="AE10" s="122"/>
    </row>
    <row r="11" spans="1:31" ht="26.25" hidden="1" customHeight="1" x14ac:dyDescent="0.15">
      <c r="A11" s="182"/>
      <c r="B11" s="182"/>
      <c r="C11" s="182"/>
      <c r="D11" s="183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B11" s="182"/>
      <c r="AD11" s="122"/>
      <c r="AE11" s="122"/>
    </row>
    <row r="12" spans="1:31" ht="26.25" hidden="1" customHeight="1" x14ac:dyDescent="0.15">
      <c r="A12" s="182"/>
      <c r="B12" s="182"/>
      <c r="C12" s="182"/>
      <c r="D12" s="183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B12" s="182"/>
      <c r="AD12" s="122"/>
      <c r="AE12" s="122"/>
    </row>
    <row r="13" spans="1:31" ht="26.25" hidden="1" customHeight="1" x14ac:dyDescent="0.15">
      <c r="A13" s="182"/>
      <c r="B13" s="182"/>
      <c r="C13" s="182"/>
      <c r="D13" s="183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B13" s="182"/>
      <c r="AD13" s="122"/>
      <c r="AE13" s="122"/>
    </row>
    <row r="14" spans="1:31" ht="26.25" hidden="1" customHeight="1" x14ac:dyDescent="0.15">
      <c r="A14" s="182"/>
      <c r="B14" s="182"/>
      <c r="C14" s="182"/>
      <c r="D14" s="183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B14" s="182"/>
      <c r="AD14" s="122"/>
      <c r="AE14" s="122"/>
    </row>
    <row r="15" spans="1:31" ht="26.25" hidden="1" customHeight="1" x14ac:dyDescent="0.15">
      <c r="A15" s="182"/>
      <c r="B15" s="182"/>
      <c r="C15" s="182"/>
      <c r="D15" s="183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B15" s="182"/>
      <c r="AD15" s="122"/>
      <c r="AE15" s="122"/>
    </row>
    <row r="16" spans="1:31" ht="26.25" hidden="1" customHeight="1" x14ac:dyDescent="0.15">
      <c r="A16" s="182"/>
      <c r="B16" s="182"/>
      <c r="C16" s="182"/>
      <c r="D16" s="183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B16" s="182"/>
      <c r="AD16" s="122"/>
      <c r="AE16" s="122"/>
    </row>
    <row r="17" spans="1:31" ht="26.25" hidden="1" customHeight="1" x14ac:dyDescent="0.15">
      <c r="A17" s="182"/>
      <c r="B17" s="182"/>
      <c r="C17" s="182"/>
      <c r="D17" s="183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B17" s="182"/>
      <c r="AD17" s="122"/>
      <c r="AE17" s="122"/>
    </row>
    <row r="18" spans="1:31" ht="26.25" hidden="1" customHeight="1" x14ac:dyDescent="0.15">
      <c r="A18" s="182"/>
      <c r="B18" s="182"/>
      <c r="C18" s="182"/>
      <c r="D18" s="183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B18" s="182"/>
      <c r="AD18" s="122"/>
      <c r="AE18" s="122"/>
    </row>
    <row r="19" spans="1:31" ht="26.25" hidden="1" customHeight="1" x14ac:dyDescent="0.15">
      <c r="A19" s="182"/>
      <c r="B19" s="182"/>
      <c r="C19" s="182"/>
      <c r="D19" s="183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B19" s="182"/>
      <c r="AD19" s="122"/>
      <c r="AE19" s="122"/>
    </row>
    <row r="20" spans="1:31" ht="15" customHeight="1" x14ac:dyDescent="0.15">
      <c r="A20" s="182"/>
      <c r="B20" s="182"/>
      <c r="C20" s="182"/>
      <c r="D20" s="183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B20" s="630"/>
      <c r="AC20" s="630"/>
    </row>
    <row r="21" spans="1:31" ht="13.5" customHeight="1" x14ac:dyDescent="0.15">
      <c r="A21" s="182"/>
      <c r="B21" s="182"/>
      <c r="C21" s="182"/>
      <c r="D21" s="183">
        <v>18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744" t="s">
        <v>70</v>
      </c>
      <c r="AC21" s="744"/>
    </row>
    <row r="22" spans="1:31" ht="11.25" customHeight="1" x14ac:dyDescent="0.15">
      <c r="A22" s="182"/>
      <c r="B22" s="182"/>
      <c r="C22" s="182"/>
      <c r="D22" s="183">
        <v>15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630"/>
      <c r="AC22" s="631"/>
    </row>
    <row r="23" spans="1:31" ht="14.25" hidden="1" customHeight="1" x14ac:dyDescent="0.15">
      <c r="B23" s="129" t="b">
        <f>AB23&lt;&gt;$AB$23</f>
        <v>0</v>
      </c>
      <c r="D23" s="183">
        <v>19</v>
      </c>
      <c r="AA23" s="632" t="s">
        <v>701</v>
      </c>
      <c r="AB23" s="633" t="s">
        <v>101</v>
      </c>
      <c r="AC23" s="225"/>
      <c r="AD23" t="s">
        <v>702</v>
      </c>
    </row>
    <row r="24" spans="1:31" ht="14.25" customHeight="1" x14ac:dyDescent="0.15">
      <c r="D24" s="183">
        <v>19</v>
      </c>
      <c r="AB24" s="634"/>
      <c r="AC24" s="635" t="s">
        <v>1429</v>
      </c>
    </row>
    <row r="25" spans="1:31" ht="11.25" customHeight="1" x14ac:dyDescent="0.15">
      <c r="A25" s="182"/>
      <c r="B25" s="182"/>
      <c r="C25" s="182"/>
      <c r="D25" s="183">
        <v>15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</row>
    <row r="26" spans="1:31" ht="14.25" hidden="1" customHeight="1" x14ac:dyDescent="0.15">
      <c r="A26" s="182"/>
      <c r="B26" s="182"/>
      <c r="C26" s="182"/>
      <c r="D26" s="183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E26" s="91" t="s">
        <v>71</v>
      </c>
    </row>
  </sheetData>
  <sheetProtection formatColumns="0" formatRows="0" insertRows="0" deleteColumns="0" deleteRows="0" sort="0" autoFilter="0"/>
  <mergeCells count="1">
    <mergeCell ref="AB21:AC21"/>
  </mergeCells>
  <pageMargins left="0.75" right="0.75" top="1" bottom="1" header="0.5" footer="0.5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AA16"/>
  <sheetViews>
    <sheetView showGridLines="0" showRowColHeaders="0" workbookViewId="0"/>
  </sheetViews>
  <sheetFormatPr defaultColWidth="9.140625" defaultRowHeight="14.25" customHeight="1" x14ac:dyDescent="0.15"/>
  <cols>
    <col min="1" max="1" width="3.28515625" style="166" customWidth="1"/>
    <col min="2" max="2" width="8.7109375" style="166" customWidth="1"/>
    <col min="3" max="3" width="12.28515625" style="166" customWidth="1"/>
    <col min="4" max="25" width="5.7109375" style="166" customWidth="1"/>
  </cols>
  <sheetData>
    <row r="1" spans="2:27" ht="26.25" customHeight="1" x14ac:dyDescent="0.2"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AA1" s="12" t="s">
        <v>30</v>
      </c>
    </row>
    <row r="2" spans="2:27" ht="16.5" customHeight="1" x14ac:dyDescent="0.15">
      <c r="B2" s="642" t="s">
        <v>31</v>
      </c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</row>
    <row r="3" spans="2:27" ht="18" customHeight="1" x14ac:dyDescent="0.15">
      <c r="B3" s="642" t="s">
        <v>32</v>
      </c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</row>
    <row r="4" spans="2:27" ht="6" customHeight="1" x14ac:dyDescent="0.15"/>
    <row r="5" spans="2:27" ht="32.25" customHeight="1" x14ac:dyDescent="0.15">
      <c r="B5" s="643" t="s">
        <v>33</v>
      </c>
      <c r="C5" s="644"/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4"/>
      <c r="T5" s="644"/>
      <c r="U5" s="644"/>
      <c r="V5" s="644"/>
      <c r="W5" s="644"/>
      <c r="X5" s="644"/>
      <c r="Y5" s="645"/>
    </row>
    <row r="6" spans="2:27" ht="6" customHeight="1" x14ac:dyDescent="0.2">
      <c r="B6" s="646" t="s">
        <v>34</v>
      </c>
      <c r="C6" s="647"/>
      <c r="Z6" s="13"/>
    </row>
    <row r="7" spans="2:27" ht="21" customHeight="1" x14ac:dyDescent="0.2">
      <c r="B7" s="646"/>
      <c r="C7" s="647"/>
      <c r="Z7" s="13"/>
    </row>
    <row r="8" spans="2:27" ht="15" customHeight="1" x14ac:dyDescent="0.2">
      <c r="B8" s="646"/>
      <c r="C8" s="647"/>
      <c r="E8" s="172" t="s">
        <v>35</v>
      </c>
      <c r="F8" s="649" t="s">
        <v>36</v>
      </c>
      <c r="G8" s="641"/>
      <c r="H8" s="641"/>
      <c r="I8" s="641"/>
      <c r="J8" s="641"/>
      <c r="K8" s="641"/>
      <c r="L8" s="641"/>
      <c r="M8" s="641"/>
      <c r="O8" s="173" t="s">
        <v>35</v>
      </c>
      <c r="P8" s="650" t="s">
        <v>37</v>
      </c>
      <c r="Q8" s="641"/>
      <c r="R8" s="641"/>
      <c r="S8" s="641"/>
      <c r="T8" s="641"/>
      <c r="U8" s="641"/>
      <c r="V8" s="641"/>
      <c r="W8" s="641"/>
      <c r="X8" s="641"/>
      <c r="Z8" s="13"/>
    </row>
    <row r="9" spans="2:27" ht="15" customHeight="1" x14ac:dyDescent="0.2">
      <c r="B9" s="646"/>
      <c r="C9" s="647"/>
      <c r="E9" s="174" t="s">
        <v>35</v>
      </c>
      <c r="F9" s="649" t="s">
        <v>38</v>
      </c>
      <c r="G9" s="641"/>
      <c r="H9" s="641"/>
      <c r="I9" s="641"/>
      <c r="J9" s="641"/>
      <c r="K9" s="641"/>
      <c r="L9" s="641"/>
      <c r="M9" s="641"/>
      <c r="O9" s="175" t="s">
        <v>35</v>
      </c>
      <c r="P9" s="650" t="s">
        <v>39</v>
      </c>
      <c r="Q9" s="641"/>
      <c r="R9" s="641"/>
      <c r="S9" s="641"/>
      <c r="T9" s="641"/>
      <c r="U9" s="641"/>
      <c r="V9" s="641"/>
      <c r="W9" s="641"/>
      <c r="X9" s="641"/>
      <c r="Z9" s="13"/>
    </row>
    <row r="10" spans="2:27" ht="21" customHeight="1" x14ac:dyDescent="0.2">
      <c r="B10" s="646"/>
      <c r="C10" s="648"/>
      <c r="D10" s="176"/>
      <c r="E10" s="177"/>
      <c r="O10" s="177"/>
      <c r="Z10" s="13"/>
    </row>
    <row r="11" spans="2:27" ht="6" customHeight="1" x14ac:dyDescent="0.2">
      <c r="B11" s="651" t="s">
        <v>40</v>
      </c>
      <c r="C11" s="652"/>
      <c r="Z11" s="13"/>
    </row>
    <row r="12" spans="2:27" ht="72" customHeight="1" x14ac:dyDescent="0.2">
      <c r="B12" s="646"/>
      <c r="C12" s="648"/>
      <c r="D12" s="178"/>
      <c r="E12" s="653" t="s">
        <v>41</v>
      </c>
      <c r="F12" s="641"/>
      <c r="G12" s="641"/>
      <c r="H12" s="641"/>
      <c r="I12" s="641"/>
      <c r="J12" s="641"/>
      <c r="K12" s="641"/>
      <c r="L12" s="641"/>
      <c r="M12" s="641"/>
      <c r="N12" s="641"/>
      <c r="O12" s="641"/>
      <c r="P12" s="641"/>
      <c r="Q12" s="641"/>
      <c r="R12" s="641"/>
      <c r="S12" s="641"/>
      <c r="T12" s="641"/>
      <c r="U12" s="641"/>
      <c r="V12" s="641"/>
      <c r="W12" s="641"/>
      <c r="X12" s="641"/>
      <c r="Z12" s="13"/>
    </row>
    <row r="13" spans="2:27" ht="6" customHeight="1" x14ac:dyDescent="0.2">
      <c r="B13" s="651" t="s">
        <v>42</v>
      </c>
      <c r="C13" s="652"/>
      <c r="Z13" s="13"/>
    </row>
    <row r="14" spans="2:27" ht="66" customHeight="1" x14ac:dyDescent="0.2">
      <c r="B14" s="646"/>
      <c r="C14" s="647"/>
      <c r="E14" s="640" t="s">
        <v>43</v>
      </c>
      <c r="F14" s="641"/>
      <c r="G14" s="641"/>
      <c r="H14" s="641"/>
      <c r="I14" s="641"/>
      <c r="J14" s="641"/>
      <c r="K14" s="641"/>
      <c r="L14" s="641"/>
      <c r="M14" s="641"/>
      <c r="N14" s="641"/>
      <c r="O14" s="641"/>
      <c r="P14" s="641"/>
      <c r="Q14" s="641"/>
      <c r="R14" s="641"/>
      <c r="S14" s="641"/>
      <c r="T14" s="641"/>
      <c r="U14" s="641"/>
      <c r="V14" s="641"/>
      <c r="W14" s="641"/>
      <c r="X14" s="641"/>
      <c r="Z14" s="13"/>
    </row>
    <row r="15" spans="2:27" ht="6" customHeight="1" x14ac:dyDescent="0.2">
      <c r="B15" s="654"/>
      <c r="C15" s="655"/>
      <c r="D15" s="179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1"/>
      <c r="Z15" s="13"/>
    </row>
    <row r="16" spans="2:27" ht="102" customHeight="1" x14ac:dyDescent="0.15">
      <c r="B16" s="640" t="str">
        <f>"Правообладатель шаблона - ООО «Платформа» (ОГРН 1147746709153). "&amp;IF(REGION_NAME="","","
Данный шаблон предоставлен в использование исключительно для сбора информации с регулируемых организаций на территории субъекта РФ: "&amp;REGION_NAME&amp;". Распространение, передача настоящего шаблона государственным органам и/или регулируемым организациям и иным лицам, осуществляющим деятельность на территории других субъектов Российской Федерации, "&amp;"равно как и любое иное использование данного шаблона такими лицами запрещены и признаются нарушением исключительного права правообладателя шаблона "&amp;"и являются основанием для привлечения к гражданской и административной ответственности в соответствии с законодательством Российской Федерации.")</f>
        <v>Правообладатель шаблона - ООО «Платформа» (ОГРН 1147746709153). 
Данный шаблон предоставлен в использование исключительно для сбора информации с регулируемых организаций на территории субъекта РФ: Томская область. Распространение, передача настоящего шаблона государственным органам и/или регулируемым организациям и иным лицам, осуществляющим деятельность на территории других субъектов Российской Федерации, равно как и любое иное использование данного шаблона такими лицами запрещены и признаются нарушением исключительного права правообладателя шаблона и являются основанием для привлечения к гражданской и административной ответственности в соответствии с законодательством Российской Федерации.</v>
      </c>
      <c r="C16" s="641"/>
      <c r="D16" s="641"/>
      <c r="E16" s="641"/>
      <c r="F16" s="641"/>
      <c r="G16" s="641"/>
      <c r="H16" s="641"/>
      <c r="I16" s="641"/>
      <c r="J16" s="641"/>
      <c r="K16" s="641"/>
      <c r="L16" s="641"/>
      <c r="M16" s="641"/>
      <c r="N16" s="641"/>
      <c r="O16" s="641"/>
      <c r="P16" s="641"/>
      <c r="Q16" s="641"/>
      <c r="R16" s="641"/>
      <c r="S16" s="641"/>
      <c r="T16" s="641"/>
      <c r="U16" s="641"/>
      <c r="V16" s="641"/>
      <c r="W16" s="641"/>
      <c r="X16" s="641"/>
      <c r="Y16" s="641"/>
    </row>
  </sheetData>
  <sheetProtection formatColumns="0" formatRows="0" insertRows="0" deleteColumns="0" deleteRows="0" sort="0" autoFilter="0"/>
  <mergeCells count="14">
    <mergeCell ref="B1:P1"/>
    <mergeCell ref="B11:C12"/>
    <mergeCell ref="E12:X12"/>
    <mergeCell ref="B13:C15"/>
    <mergeCell ref="E14:X14"/>
    <mergeCell ref="B16:Y16"/>
    <mergeCell ref="B2:P2"/>
    <mergeCell ref="B3:P3"/>
    <mergeCell ref="B5:Y5"/>
    <mergeCell ref="B6:C10"/>
    <mergeCell ref="F8:M8"/>
    <mergeCell ref="P8:X8"/>
    <mergeCell ref="F9:M9"/>
    <mergeCell ref="P9:X9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1" width="6.85546875" style="166" hidden="1" customWidth="1"/>
    <col min="2" max="2" width="7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11.5703125" style="166" customWidth="1"/>
    <col min="29" max="29" width="65.5703125" style="166" customWidth="1"/>
    <col min="30" max="30" width="18.7109375" style="166" customWidth="1"/>
    <col min="31" max="31" width="19.42578125" style="166" customWidth="1"/>
    <col min="32" max="32" width="9.140625" hidden="1"/>
  </cols>
  <sheetData>
    <row r="1" spans="1:32" ht="12.75" hidden="1" customHeight="1" x14ac:dyDescent="0.15">
      <c r="A1" s="182"/>
      <c r="B1" s="182"/>
      <c r="C1" s="182"/>
      <c r="D1" s="183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4" t="s">
        <v>44</v>
      </c>
      <c r="AD1" s="182"/>
      <c r="AE1" s="184" t="s">
        <v>45</v>
      </c>
      <c r="AF1" s="122"/>
    </row>
    <row r="2" spans="1:32" ht="12.75" hidden="1" customHeight="1" x14ac:dyDescent="0.15">
      <c r="A2" s="182"/>
      <c r="B2" s="182"/>
      <c r="C2" s="182"/>
      <c r="D2" s="183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22"/>
    </row>
    <row r="3" spans="1:32" ht="11.25" hidden="1" customHeight="1" x14ac:dyDescent="0.15">
      <c r="A3" s="182"/>
      <c r="B3" s="182"/>
      <c r="C3" s="182"/>
      <c r="D3" s="183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22"/>
    </row>
    <row r="4" spans="1:32" ht="12.75" hidden="1" customHeight="1" x14ac:dyDescent="0.15">
      <c r="A4" s="183"/>
      <c r="B4" s="183"/>
      <c r="C4" s="183"/>
      <c r="D4" s="183"/>
      <c r="E4" s="185">
        <v>61</v>
      </c>
      <c r="F4" s="185">
        <v>61</v>
      </c>
      <c r="G4" s="185">
        <v>61</v>
      </c>
      <c r="H4" s="185">
        <v>61</v>
      </c>
      <c r="I4" s="185">
        <v>61</v>
      </c>
      <c r="J4" s="185">
        <v>61</v>
      </c>
      <c r="K4" s="185">
        <v>61</v>
      </c>
      <c r="L4" s="185">
        <v>61</v>
      </c>
      <c r="M4" s="185">
        <v>61</v>
      </c>
      <c r="N4" s="185">
        <v>61</v>
      </c>
      <c r="O4" s="185">
        <v>61</v>
      </c>
      <c r="P4" s="185">
        <v>61</v>
      </c>
      <c r="Q4" s="185">
        <v>61</v>
      </c>
      <c r="R4" s="185">
        <v>61</v>
      </c>
      <c r="S4" s="185">
        <v>61</v>
      </c>
      <c r="T4" s="185">
        <v>61</v>
      </c>
      <c r="U4" s="185">
        <v>61</v>
      </c>
      <c r="V4" s="185">
        <v>61</v>
      </c>
      <c r="W4" s="185">
        <v>61</v>
      </c>
      <c r="X4" s="185">
        <v>61</v>
      </c>
      <c r="Y4" s="185">
        <v>61</v>
      </c>
      <c r="Z4" s="185">
        <v>61</v>
      </c>
      <c r="AA4" s="185">
        <v>26</v>
      </c>
      <c r="AB4" s="185">
        <v>81</v>
      </c>
      <c r="AC4" s="185">
        <v>459</v>
      </c>
      <c r="AD4" s="185">
        <v>131</v>
      </c>
      <c r="AE4" s="183">
        <v>136</v>
      </c>
      <c r="AF4" s="14">
        <v>0</v>
      </c>
    </row>
    <row r="5" spans="1:32" ht="26.25" hidden="1" customHeight="1" x14ac:dyDescent="0.15">
      <c r="A5" s="182"/>
      <c r="B5" s="182"/>
      <c r="C5" s="182"/>
      <c r="D5" s="185">
        <v>35</v>
      </c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22"/>
    </row>
    <row r="6" spans="1:32" ht="26.25" hidden="1" customHeight="1" x14ac:dyDescent="0.15">
      <c r="A6" s="182"/>
      <c r="B6" s="182"/>
      <c r="C6" s="182"/>
      <c r="D6" s="185">
        <v>35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22"/>
    </row>
    <row r="7" spans="1:32" ht="26.25" hidden="1" customHeight="1" x14ac:dyDescent="0.15">
      <c r="A7" s="182"/>
      <c r="B7" s="182"/>
      <c r="C7" s="182"/>
      <c r="D7" s="185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22"/>
    </row>
    <row r="8" spans="1:32" ht="26.25" hidden="1" customHeight="1" x14ac:dyDescent="0.15">
      <c r="A8" s="182"/>
      <c r="B8" s="182"/>
      <c r="C8" s="182"/>
      <c r="D8" s="185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22"/>
    </row>
    <row r="9" spans="1:32" ht="26.25" hidden="1" customHeight="1" x14ac:dyDescent="0.15">
      <c r="A9" s="182"/>
      <c r="B9" s="182"/>
      <c r="C9" s="182"/>
      <c r="D9" s="18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22"/>
    </row>
    <row r="10" spans="1:32" ht="26.25" hidden="1" customHeight="1" x14ac:dyDescent="0.15">
      <c r="A10" s="182"/>
      <c r="B10" s="182"/>
      <c r="C10" s="182"/>
      <c r="D10" s="18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22"/>
    </row>
    <row r="11" spans="1:32" ht="26.25" hidden="1" customHeight="1" x14ac:dyDescent="0.15">
      <c r="A11" s="182"/>
      <c r="B11" s="182"/>
      <c r="C11" s="182"/>
      <c r="D11" s="18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22"/>
    </row>
    <row r="12" spans="1:32" ht="26.25" hidden="1" customHeight="1" x14ac:dyDescent="0.15">
      <c r="A12" s="182"/>
      <c r="B12" s="182"/>
      <c r="C12" s="182"/>
      <c r="D12" s="18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22"/>
    </row>
    <row r="13" spans="1:32" ht="26.25" hidden="1" customHeight="1" x14ac:dyDescent="0.15">
      <c r="A13" s="182"/>
      <c r="B13" s="182"/>
      <c r="C13" s="182"/>
      <c r="D13" s="18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22"/>
    </row>
    <row r="14" spans="1:32" ht="26.25" hidden="1" customHeight="1" x14ac:dyDescent="0.15">
      <c r="A14" s="182"/>
      <c r="B14" s="182"/>
      <c r="C14" s="182"/>
      <c r="D14" s="18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22"/>
    </row>
    <row r="15" spans="1:32" ht="26.25" hidden="1" customHeight="1" x14ac:dyDescent="0.15">
      <c r="A15" s="182"/>
      <c r="B15" s="182"/>
      <c r="C15" s="182"/>
      <c r="D15" s="18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22"/>
    </row>
    <row r="16" spans="1:32" ht="26.25" hidden="1" customHeight="1" x14ac:dyDescent="0.15">
      <c r="A16" s="182"/>
      <c r="B16" s="182"/>
      <c r="C16" s="182"/>
      <c r="D16" s="18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22"/>
    </row>
    <row r="17" spans="1:32" ht="26.25" hidden="1" customHeight="1" x14ac:dyDescent="0.15">
      <c r="A17" s="182"/>
      <c r="B17" s="182"/>
      <c r="C17" s="182"/>
      <c r="D17" s="18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22"/>
    </row>
    <row r="18" spans="1:32" ht="26.25" hidden="1" customHeight="1" x14ac:dyDescent="0.15">
      <c r="A18" s="182"/>
      <c r="B18" s="182"/>
      <c r="C18" s="182"/>
      <c r="D18" s="18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22"/>
    </row>
    <row r="19" spans="1:32" ht="26.25" hidden="1" customHeight="1" x14ac:dyDescent="0.15">
      <c r="A19" s="182"/>
      <c r="B19" s="182"/>
      <c r="C19" s="182"/>
      <c r="D19" s="18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22"/>
    </row>
    <row r="20" spans="1:32" ht="15" customHeight="1" x14ac:dyDescent="0.15">
      <c r="A20" s="182"/>
      <c r="B20" s="182"/>
      <c r="C20" s="182"/>
      <c r="D20" s="18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32" ht="15.75" customHeight="1" x14ac:dyDescent="0.15">
      <c r="A21" s="182"/>
      <c r="B21" s="182"/>
      <c r="C21" s="182"/>
      <c r="D21" s="185">
        <v>21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656" t="s">
        <v>46</v>
      </c>
      <c r="AC21" s="656"/>
      <c r="AD21" s="656"/>
    </row>
    <row r="22" spans="1:32" ht="15" customHeight="1" x14ac:dyDescent="0.15">
      <c r="A22" s="182"/>
      <c r="B22" s="182"/>
      <c r="C22" s="182"/>
      <c r="D22" s="185">
        <v>20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</row>
    <row r="23" spans="1:32" ht="15" hidden="1" customHeight="1" x14ac:dyDescent="0.15">
      <c r="A23" s="182"/>
      <c r="B23" s="182"/>
      <c r="C23" s="182"/>
      <c r="D23" s="185">
        <v>0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</row>
    <row r="24" spans="1:32" ht="24" customHeight="1" x14ac:dyDescent="0.15">
      <c r="A24" s="182"/>
      <c r="B24" s="182"/>
      <c r="C24" s="182"/>
      <c r="D24" s="185">
        <v>32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C24" s="186" t="s">
        <v>47</v>
      </c>
    </row>
    <row r="25" spans="1:32" ht="24" customHeight="1" x14ac:dyDescent="0.15">
      <c r="A25" s="182"/>
      <c r="B25" s="182"/>
      <c r="C25" s="182"/>
      <c r="D25" s="185">
        <v>32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C25" s="89" t="s">
        <v>48</v>
      </c>
      <c r="AE25" s="187" t="s">
        <v>49</v>
      </c>
    </row>
    <row r="26" spans="1:32" ht="24" customHeight="1" x14ac:dyDescent="0.15">
      <c r="A26" s="182"/>
      <c r="B26" s="182"/>
      <c r="C26" s="182"/>
      <c r="D26" s="185">
        <v>32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C26" s="89" t="s">
        <v>50</v>
      </c>
    </row>
    <row r="27" spans="1:32" ht="24" hidden="1" customHeight="1" x14ac:dyDescent="0.15">
      <c r="A27" s="182"/>
      <c r="B27" s="188" t="b">
        <f>FIRST_PERIOD_IN_LT&lt;2018</f>
        <v>0</v>
      </c>
      <c r="C27" s="182"/>
      <c r="D27" s="185">
        <v>32</v>
      </c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C27" s="89" t="s">
        <v>51</v>
      </c>
    </row>
    <row r="28" spans="1:32" ht="24" hidden="1" customHeight="1" x14ac:dyDescent="0.15">
      <c r="A28" s="182"/>
      <c r="B28" s="188" t="b">
        <f>FIRST_PERIOD_IN_LT&lt;2018</f>
        <v>0</v>
      </c>
      <c r="C28" s="182"/>
      <c r="D28" s="185">
        <v>32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C28" s="89" t="s">
        <v>52</v>
      </c>
    </row>
    <row r="29" spans="1:32" ht="24" hidden="1" customHeight="1" x14ac:dyDescent="0.15">
      <c r="A29" s="182"/>
      <c r="B29" s="188" t="b">
        <f>FIRST_PERIOD_IN_LT&lt;2018</f>
        <v>0</v>
      </c>
      <c r="C29" s="182"/>
      <c r="D29" s="185">
        <v>32</v>
      </c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C29" s="89" t="s">
        <v>53</v>
      </c>
    </row>
    <row r="30" spans="1:32" ht="24" hidden="1" customHeight="1" x14ac:dyDescent="0.15">
      <c r="A30" s="182"/>
      <c r="B30" s="188" t="b">
        <f>FIRST_PERIOD_IN_LT&lt;2024</f>
        <v>0</v>
      </c>
      <c r="C30" s="182"/>
      <c r="D30" s="185">
        <v>32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C30" s="89" t="s">
        <v>54</v>
      </c>
    </row>
    <row r="31" spans="1:32" ht="24" customHeight="1" x14ac:dyDescent="0.15">
      <c r="A31" s="182"/>
      <c r="B31" s="188" t="b">
        <f>FIRST_PERIOD_IN_LT&gt;=2024</f>
        <v>1</v>
      </c>
      <c r="C31" s="182"/>
      <c r="D31" s="185">
        <v>32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C31" s="89" t="s">
        <v>55</v>
      </c>
    </row>
    <row r="32" spans="1:32" ht="24" customHeight="1" x14ac:dyDescent="0.15">
      <c r="A32" s="182"/>
      <c r="B32" s="182"/>
      <c r="C32" s="182"/>
      <c r="D32" s="185">
        <v>32</v>
      </c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C32" s="89" t="s">
        <v>56</v>
      </c>
      <c r="AE32" s="23" t="s">
        <v>57</v>
      </c>
    </row>
    <row r="33" spans="1:32" ht="24" customHeight="1" x14ac:dyDescent="0.15">
      <c r="A33" s="182"/>
      <c r="B33" s="182"/>
      <c r="C33" s="182"/>
      <c r="D33" s="185">
        <v>32</v>
      </c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C33" s="89" t="s">
        <v>58</v>
      </c>
    </row>
    <row r="34" spans="1:32" ht="24" hidden="1" customHeight="1" x14ac:dyDescent="0.15">
      <c r="A34" s="182"/>
      <c r="B34" s="188" t="b">
        <f>FIRST_PERIOD_IN_LT&lt;2024</f>
        <v>0</v>
      </c>
      <c r="C34" s="182"/>
      <c r="D34" s="185">
        <v>32</v>
      </c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C34" s="89" t="s">
        <v>59</v>
      </c>
    </row>
    <row r="35" spans="1:32" ht="24" customHeight="1" x14ac:dyDescent="0.15">
      <c r="A35" s="182"/>
      <c r="B35" s="188" t="b">
        <f>FIRST_PERIOD_IN_LT&gt;=2024</f>
        <v>1</v>
      </c>
      <c r="C35" s="182"/>
      <c r="D35" s="185">
        <v>32</v>
      </c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C35" s="89" t="s">
        <v>60</v>
      </c>
    </row>
    <row r="36" spans="1:32" ht="24" hidden="1" customHeight="1" x14ac:dyDescent="0.15">
      <c r="A36" s="182"/>
      <c r="B36" s="188" t="b">
        <f>REGION_NAME="г.Санкт-Петербург"</f>
        <v>0</v>
      </c>
      <c r="C36" s="182"/>
      <c r="D36" s="185">
        <v>32</v>
      </c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C36" s="89" t="s">
        <v>61</v>
      </c>
    </row>
    <row r="37" spans="1:32" ht="24" hidden="1" customHeight="1" x14ac:dyDescent="0.15">
      <c r="A37" s="182"/>
      <c r="B37" s="188" t="b">
        <f>REGION_NAME="г.Санкт-Петербург"</f>
        <v>0</v>
      </c>
      <c r="C37" s="182"/>
      <c r="D37" s="185">
        <v>32</v>
      </c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C37" s="89" t="s">
        <v>62</v>
      </c>
    </row>
    <row r="38" spans="1:32" ht="24" customHeight="1" x14ac:dyDescent="0.15">
      <c r="A38" s="182"/>
      <c r="B38" s="182"/>
      <c r="C38" s="182"/>
      <c r="D38" s="185">
        <v>32</v>
      </c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C38" s="89" t="s">
        <v>63</v>
      </c>
    </row>
    <row r="39" spans="1:32" ht="24" hidden="1" customHeight="1" x14ac:dyDescent="0.15">
      <c r="A39" s="182"/>
      <c r="B39" s="188" t="b">
        <f>OR(FIRST_PERIOD_IN_LT&lt;2024,REGION_NAME="Красноярский край",REGION_NAME="Ставропольский край")</f>
        <v>0</v>
      </c>
      <c r="C39" s="182"/>
      <c r="D39" s="185">
        <v>32</v>
      </c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C39" s="89" t="s">
        <v>64</v>
      </c>
      <c r="AE39" s="189" t="str">
        <f>IF(REGION_NAME="Красноярский край","checkPreloadF41","")</f>
        <v/>
      </c>
    </row>
    <row r="40" spans="1:32" ht="24" customHeight="1" x14ac:dyDescent="0.15">
      <c r="A40" s="182"/>
      <c r="B40" s="188" t="b">
        <f>FIRST_PERIOD_IN_LT&gt;=2024</f>
        <v>1</v>
      </c>
      <c r="C40" s="182"/>
      <c r="D40" s="185">
        <v>32</v>
      </c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C40" s="89" t="s">
        <v>65</v>
      </c>
      <c r="AE40" s="90" t="str">
        <f>IF(REGION_NAME="Красноярский край","checkPreloadF41","")</f>
        <v/>
      </c>
    </row>
    <row r="41" spans="1:32" ht="24" hidden="1" customHeight="1" x14ac:dyDescent="0.15">
      <c r="A41" s="182"/>
      <c r="B41" s="188" t="b">
        <f>OR(FIRST_PERIOD_IN_LT&lt;2024,REGION_NAME="Красноярский край",REGION_NAME="Ставропольский край")</f>
        <v>0</v>
      </c>
      <c r="C41" s="182"/>
      <c r="D41" s="185">
        <v>32</v>
      </c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C41" s="89" t="s">
        <v>66</v>
      </c>
    </row>
    <row r="42" spans="1:32" ht="24" customHeight="1" x14ac:dyDescent="0.15">
      <c r="A42" s="182"/>
      <c r="B42" s="188" t="b">
        <f>FIRST_PERIOD_IN_LT&gt;=2024</f>
        <v>1</v>
      </c>
      <c r="C42" s="182"/>
      <c r="D42" s="185">
        <v>32</v>
      </c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C42" s="89" t="s">
        <v>67</v>
      </c>
    </row>
    <row r="43" spans="1:32" ht="24" customHeight="1" x14ac:dyDescent="0.15">
      <c r="A43" s="182"/>
      <c r="B43" s="182"/>
      <c r="C43" s="182"/>
      <c r="D43" s="185">
        <v>32</v>
      </c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C43" s="89" t="s">
        <v>68</v>
      </c>
    </row>
    <row r="44" spans="1:32" ht="24" customHeight="1" x14ac:dyDescent="0.15">
      <c r="A44" s="182"/>
      <c r="B44" s="182"/>
      <c r="C44" s="182"/>
      <c r="D44" s="185">
        <v>32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C44" s="89" t="s">
        <v>69</v>
      </c>
    </row>
    <row r="45" spans="1:32" ht="24" customHeight="1" x14ac:dyDescent="0.15">
      <c r="A45" s="182"/>
      <c r="B45" s="182"/>
      <c r="C45" s="182"/>
      <c r="D45" s="185">
        <v>32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C45" s="89" t="s">
        <v>70</v>
      </c>
    </row>
    <row r="46" spans="1:32" ht="18" hidden="1" customHeight="1" x14ac:dyDescent="0.15">
      <c r="A46" s="182"/>
      <c r="B46" s="182"/>
      <c r="C46" s="182"/>
      <c r="D46" s="185">
        <v>0</v>
      </c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F46" t="s">
        <v>71</v>
      </c>
    </row>
  </sheetData>
  <sheetProtection formatColumns="0" formatRows="0" insertRows="0" deleteColumns="0" deleteRows="0" sort="0" autoFilter="0"/>
  <mergeCells count="1">
    <mergeCell ref="AB21:AD21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Z87"/>
  <sheetViews>
    <sheetView showGridLines="0" workbookViewId="0"/>
  </sheetViews>
  <sheetFormatPr defaultColWidth="9.140625" defaultRowHeight="11.25" customHeight="1" x14ac:dyDescent="0.15"/>
  <cols>
    <col min="1" max="1" width="35.85546875" style="166" customWidth="1"/>
    <col min="2" max="2" width="22.5703125" style="166" customWidth="1"/>
    <col min="3" max="3" width="13.42578125" style="166" customWidth="1"/>
    <col min="4" max="4" width="22.5703125" style="166" customWidth="1"/>
    <col min="5" max="5" width="32.5703125" style="166" customWidth="1"/>
    <col min="6" max="6" width="18.7109375" style="166" customWidth="1"/>
    <col min="7" max="7" width="14.140625" style="166" customWidth="1"/>
    <col min="8" max="8" width="20.85546875" style="166" customWidth="1"/>
    <col min="9" max="11" width="12.28515625" style="166" customWidth="1"/>
    <col min="12" max="12" width="34.42578125" style="166" customWidth="1"/>
    <col min="13" max="13" width="25" style="166" customWidth="1"/>
    <col min="14" max="14" width="13.5703125" style="166" customWidth="1"/>
    <col min="15" max="15" width="20.7109375" style="166" customWidth="1"/>
    <col min="17" max="17" width="8" style="166" customWidth="1"/>
    <col min="18" max="18" width="34" style="166" customWidth="1"/>
    <col min="20" max="20" width="35.42578125" style="166" customWidth="1"/>
    <col min="21" max="21" width="24.85546875" style="166" customWidth="1"/>
  </cols>
  <sheetData>
    <row r="1" spans="1:26" ht="11.25" customHeight="1" x14ac:dyDescent="0.15">
      <c r="A1" s="190" t="s">
        <v>72</v>
      </c>
      <c r="B1" s="93" t="s">
        <v>73</v>
      </c>
      <c r="C1" s="191" t="s">
        <v>74</v>
      </c>
      <c r="E1" s="192" t="s">
        <v>75</v>
      </c>
      <c r="F1" s="95" t="s">
        <v>76</v>
      </c>
      <c r="G1" s="95" t="s">
        <v>77</v>
      </c>
      <c r="H1" s="95" t="s">
        <v>78</v>
      </c>
      <c r="I1" s="193" t="s">
        <v>79</v>
      </c>
      <c r="J1" s="96" t="s">
        <v>80</v>
      </c>
      <c r="K1" s="96" t="s">
        <v>81</v>
      </c>
      <c r="L1" s="194" t="s">
        <v>82</v>
      </c>
      <c r="Q1" s="195" t="s">
        <v>83</v>
      </c>
      <c r="R1" s="98" t="s">
        <v>84</v>
      </c>
      <c r="T1" s="196" t="s">
        <v>85</v>
      </c>
      <c r="U1" s="99" t="s">
        <v>86</v>
      </c>
      <c r="W1" s="98" t="s">
        <v>87</v>
      </c>
      <c r="X1" s="98" t="s">
        <v>88</v>
      </c>
      <c r="Z1" s="98" t="s">
        <v>89</v>
      </c>
    </row>
    <row r="2" spans="1:26" ht="12.75" customHeight="1" x14ac:dyDescent="0.2">
      <c r="A2" s="197" t="s">
        <v>90</v>
      </c>
      <c r="B2" s="100" t="s">
        <v>91</v>
      </c>
      <c r="C2" s="198" t="s">
        <v>92</v>
      </c>
      <c r="E2" s="199" t="s">
        <v>93</v>
      </c>
      <c r="F2" s="200" t="s">
        <v>8</v>
      </c>
      <c r="G2" s="201" t="s">
        <v>94</v>
      </c>
      <c r="H2" s="202">
        <v>2019</v>
      </c>
      <c r="I2" s="103" t="s">
        <v>95</v>
      </c>
      <c r="J2" s="103" t="s">
        <v>96</v>
      </c>
      <c r="K2" s="103" t="s">
        <v>96</v>
      </c>
      <c r="L2" s="203" t="s">
        <v>97</v>
      </c>
      <c r="Q2" s="204" t="s">
        <v>12</v>
      </c>
      <c r="R2" s="205" t="s">
        <v>98</v>
      </c>
      <c r="T2" s="206" t="s">
        <v>99</v>
      </c>
      <c r="U2" s="106" t="s">
        <v>100</v>
      </c>
      <c r="W2" s="46" t="s">
        <v>100</v>
      </c>
      <c r="X2" s="46" t="s">
        <v>99</v>
      </c>
      <c r="Z2" s="46" t="s">
        <v>101</v>
      </c>
    </row>
    <row r="3" spans="1:26" ht="12.75" customHeight="1" x14ac:dyDescent="0.2">
      <c r="A3" s="100" t="s">
        <v>102</v>
      </c>
      <c r="B3" s="100" t="s">
        <v>103</v>
      </c>
      <c r="E3" s="50" t="s">
        <v>104</v>
      </c>
      <c r="F3" s="103" t="s">
        <v>11</v>
      </c>
      <c r="G3" s="104" t="s">
        <v>105</v>
      </c>
      <c r="H3" s="109">
        <v>2020</v>
      </c>
      <c r="I3" s="103" t="s">
        <v>106</v>
      </c>
      <c r="J3" s="103" t="s">
        <v>107</v>
      </c>
      <c r="K3" s="103" t="s">
        <v>107</v>
      </c>
      <c r="L3" s="105" t="s">
        <v>108</v>
      </c>
      <c r="Q3" s="31" t="s">
        <v>18</v>
      </c>
      <c r="R3" s="46" t="s">
        <v>109</v>
      </c>
      <c r="T3" s="106" t="s">
        <v>110</v>
      </c>
      <c r="U3" s="106" t="s">
        <v>111</v>
      </c>
      <c r="W3" s="46" t="s">
        <v>111</v>
      </c>
      <c r="X3" s="46" t="s">
        <v>110</v>
      </c>
      <c r="Z3" s="46" t="s">
        <v>112</v>
      </c>
    </row>
    <row r="4" spans="1:26" ht="12.75" customHeight="1" x14ac:dyDescent="0.2">
      <c r="A4" s="100" t="s">
        <v>113</v>
      </c>
      <c r="B4" s="100"/>
      <c r="C4" s="94" t="s">
        <v>114</v>
      </c>
      <c r="E4" s="50" t="s">
        <v>115</v>
      </c>
      <c r="G4" s="104" t="s">
        <v>116</v>
      </c>
      <c r="H4" s="109">
        <v>2021</v>
      </c>
      <c r="I4" s="103" t="s">
        <v>117</v>
      </c>
      <c r="J4" s="103" t="s">
        <v>118</v>
      </c>
      <c r="K4" s="103" t="s">
        <v>118</v>
      </c>
      <c r="Q4" s="31" t="s">
        <v>119</v>
      </c>
      <c r="R4" s="46" t="s">
        <v>120</v>
      </c>
      <c r="T4" s="106" t="s">
        <v>121</v>
      </c>
      <c r="U4" s="106" t="s">
        <v>122</v>
      </c>
      <c r="W4" s="46" t="s">
        <v>122</v>
      </c>
      <c r="X4" s="46" t="s">
        <v>123</v>
      </c>
    </row>
    <row r="5" spans="1:26" ht="12.75" customHeight="1" x14ac:dyDescent="0.2">
      <c r="A5" s="100" t="s">
        <v>124</v>
      </c>
      <c r="B5" s="100"/>
      <c r="C5" s="101" t="s">
        <v>125</v>
      </c>
      <c r="E5" s="50" t="s">
        <v>126</v>
      </c>
      <c r="G5" s="104" t="s">
        <v>127</v>
      </c>
      <c r="H5" s="109">
        <v>2022</v>
      </c>
      <c r="I5" s="103" t="s">
        <v>128</v>
      </c>
      <c r="J5" s="103" t="s">
        <v>129</v>
      </c>
      <c r="K5" s="103" t="s">
        <v>129</v>
      </c>
      <c r="Q5" s="31" t="s">
        <v>119</v>
      </c>
      <c r="R5" s="46" t="s">
        <v>120</v>
      </c>
      <c r="T5" s="106" t="s">
        <v>130</v>
      </c>
      <c r="X5" s="46" t="s">
        <v>121</v>
      </c>
    </row>
    <row r="6" spans="1:26" ht="11.25" customHeight="1" x14ac:dyDescent="0.15">
      <c r="A6" s="100" t="s">
        <v>131</v>
      </c>
      <c r="B6" s="100"/>
      <c r="E6" s="50" t="s">
        <v>132</v>
      </c>
      <c r="F6" s="95" t="s">
        <v>133</v>
      </c>
      <c r="H6" s="109">
        <v>2023</v>
      </c>
      <c r="I6" s="103" t="s">
        <v>134</v>
      </c>
      <c r="J6" s="103" t="s">
        <v>135</v>
      </c>
      <c r="K6" s="103" t="s">
        <v>135</v>
      </c>
      <c r="L6" s="97" t="s">
        <v>136</v>
      </c>
      <c r="Q6" s="31" t="s">
        <v>12</v>
      </c>
      <c r="R6" s="46" t="s">
        <v>98</v>
      </c>
      <c r="T6" s="106" t="s">
        <v>137</v>
      </c>
      <c r="X6" s="46" t="s">
        <v>130</v>
      </c>
    </row>
    <row r="7" spans="1:26" ht="11.25" customHeight="1" x14ac:dyDescent="0.15">
      <c r="A7" s="100" t="s">
        <v>138</v>
      </c>
      <c r="B7" s="100"/>
      <c r="C7" s="94" t="s">
        <v>139</v>
      </c>
      <c r="E7" s="50" t="s">
        <v>140</v>
      </c>
      <c r="H7" s="109">
        <v>2024</v>
      </c>
      <c r="I7" s="103" t="s">
        <v>141</v>
      </c>
      <c r="J7" s="103" t="s">
        <v>142</v>
      </c>
      <c r="K7" s="103" t="s">
        <v>142</v>
      </c>
      <c r="L7" s="207" t="s">
        <v>143</v>
      </c>
      <c r="Q7" s="31" t="s">
        <v>144</v>
      </c>
      <c r="R7" s="208" t="s">
        <v>145</v>
      </c>
      <c r="X7" s="46" t="s">
        <v>137</v>
      </c>
    </row>
    <row r="8" spans="1:26" ht="12.75" customHeight="1" x14ac:dyDescent="0.2">
      <c r="A8" s="100" t="s">
        <v>146</v>
      </c>
      <c r="C8" s="101" t="s">
        <v>147</v>
      </c>
      <c r="E8" s="50" t="s">
        <v>148</v>
      </c>
      <c r="G8" s="104" t="s">
        <v>94</v>
      </c>
      <c r="H8" s="109">
        <v>2025</v>
      </c>
      <c r="I8" s="103" t="s">
        <v>149</v>
      </c>
      <c r="J8" s="103" t="s">
        <v>150</v>
      </c>
      <c r="K8" s="103" t="s">
        <v>150</v>
      </c>
      <c r="L8" s="107" t="s">
        <v>151</v>
      </c>
      <c r="Q8" s="31" t="s">
        <v>6</v>
      </c>
      <c r="R8" s="108" t="s">
        <v>152</v>
      </c>
    </row>
    <row r="9" spans="1:26" ht="12.75" customHeight="1" x14ac:dyDescent="0.2">
      <c r="A9" s="100" t="s">
        <v>153</v>
      </c>
      <c r="E9" s="50" t="s">
        <v>154</v>
      </c>
      <c r="G9" s="104" t="s">
        <v>155</v>
      </c>
      <c r="H9" s="109">
        <v>2026</v>
      </c>
      <c r="I9" s="103" t="s">
        <v>156</v>
      </c>
      <c r="J9" s="103" t="s">
        <v>157</v>
      </c>
      <c r="K9" s="103" t="s">
        <v>157</v>
      </c>
      <c r="L9" s="107" t="s">
        <v>158</v>
      </c>
      <c r="Q9" s="31" t="s">
        <v>159</v>
      </c>
      <c r="R9" s="108" t="s">
        <v>160</v>
      </c>
    </row>
    <row r="10" spans="1:26" ht="12.75" customHeight="1" x14ac:dyDescent="0.2">
      <c r="A10" s="100" t="s">
        <v>161</v>
      </c>
      <c r="C10" s="94" t="s">
        <v>162</v>
      </c>
      <c r="E10" s="50" t="s">
        <v>163</v>
      </c>
      <c r="G10" s="104" t="s">
        <v>164</v>
      </c>
      <c r="H10" s="109">
        <v>2027</v>
      </c>
      <c r="I10" s="103" t="s">
        <v>165</v>
      </c>
      <c r="J10" s="103" t="s">
        <v>166</v>
      </c>
      <c r="K10" s="103" t="s">
        <v>166</v>
      </c>
      <c r="Q10" s="31" t="s">
        <v>167</v>
      </c>
      <c r="R10" s="46" t="s">
        <v>168</v>
      </c>
    </row>
    <row r="11" spans="1:26" ht="12.75" customHeight="1" x14ac:dyDescent="0.2">
      <c r="A11" s="100" t="s">
        <v>169</v>
      </c>
      <c r="C11" s="209" t="s">
        <v>170</v>
      </c>
      <c r="E11" s="50" t="s">
        <v>171</v>
      </c>
      <c r="G11" s="104" t="s">
        <v>172</v>
      </c>
      <c r="H11" s="109">
        <v>2028</v>
      </c>
      <c r="I11" s="103" t="s">
        <v>173</v>
      </c>
      <c r="J11" s="103">
        <v>10</v>
      </c>
      <c r="K11" s="103">
        <v>10</v>
      </c>
    </row>
    <row r="12" spans="1:26" ht="11.25" customHeight="1" x14ac:dyDescent="0.15">
      <c r="A12" s="100" t="s">
        <v>174</v>
      </c>
      <c r="E12" s="50" t="s">
        <v>175</v>
      </c>
      <c r="I12" s="103" t="s">
        <v>176</v>
      </c>
      <c r="J12" s="103">
        <v>11</v>
      </c>
      <c r="K12" s="103">
        <v>11</v>
      </c>
    </row>
    <row r="13" spans="1:26" ht="11.25" customHeight="1" x14ac:dyDescent="0.15">
      <c r="A13" s="100" t="s">
        <v>177</v>
      </c>
      <c r="C13" s="94" t="s">
        <v>178</v>
      </c>
      <c r="E13" s="50" t="s">
        <v>179</v>
      </c>
      <c r="I13" s="103" t="s">
        <v>180</v>
      </c>
      <c r="J13" s="103">
        <v>12</v>
      </c>
      <c r="K13" s="103">
        <v>12</v>
      </c>
    </row>
    <row r="14" spans="1:26" ht="11.25" customHeight="1" x14ac:dyDescent="0.15">
      <c r="A14" s="100" t="s">
        <v>181</v>
      </c>
      <c r="C14" s="102" t="s">
        <v>182</v>
      </c>
      <c r="E14" s="50" t="s">
        <v>183</v>
      </c>
      <c r="H14" s="97" t="s">
        <v>184</v>
      </c>
      <c r="K14" s="103">
        <v>13</v>
      </c>
      <c r="L14" s="657" t="s">
        <v>185</v>
      </c>
      <c r="M14" s="658"/>
      <c r="N14" s="658"/>
      <c r="O14" s="658"/>
      <c r="P14" s="658"/>
    </row>
    <row r="15" spans="1:26" ht="11.25" customHeight="1" x14ac:dyDescent="0.15">
      <c r="A15" s="100" t="s">
        <v>186</v>
      </c>
      <c r="E15" s="50" t="s">
        <v>187</v>
      </c>
      <c r="H15" s="109">
        <v>2007</v>
      </c>
      <c r="I15" s="109">
        <v>2017</v>
      </c>
      <c r="K15" s="103">
        <v>14</v>
      </c>
      <c r="M15" s="210" t="s">
        <v>188</v>
      </c>
      <c r="N15" s="110" t="s">
        <v>189</v>
      </c>
    </row>
    <row r="16" spans="1:26" ht="11.25" customHeight="1" x14ac:dyDescent="0.15">
      <c r="A16" s="100"/>
      <c r="E16" s="50" t="s">
        <v>190</v>
      </c>
      <c r="H16" s="109">
        <v>2008</v>
      </c>
      <c r="I16" s="109">
        <v>2018</v>
      </c>
      <c r="K16" s="103">
        <v>15</v>
      </c>
      <c r="L16" s="211" t="s">
        <v>191</v>
      </c>
      <c r="M16" s="102"/>
      <c r="N16" s="102"/>
    </row>
    <row r="17" spans="1:11" ht="11.25" customHeight="1" x14ac:dyDescent="0.15">
      <c r="A17" s="100"/>
      <c r="E17" s="50" t="s">
        <v>192</v>
      </c>
      <c r="H17" s="109">
        <v>2009</v>
      </c>
      <c r="I17" s="109">
        <v>2019</v>
      </c>
      <c r="K17" s="103">
        <v>16</v>
      </c>
    </row>
    <row r="18" spans="1:11" ht="11.25" customHeight="1" x14ac:dyDescent="0.15">
      <c r="A18" s="100"/>
      <c r="E18" s="50" t="s">
        <v>193</v>
      </c>
      <c r="H18" s="109">
        <v>2010</v>
      </c>
      <c r="I18" s="109">
        <v>2020</v>
      </c>
      <c r="K18" s="103">
        <v>17</v>
      </c>
    </row>
    <row r="19" spans="1:11" ht="11.25" customHeight="1" x14ac:dyDescent="0.15">
      <c r="A19" s="100"/>
      <c r="E19" s="50" t="s">
        <v>194</v>
      </c>
      <c r="H19" s="109">
        <v>2011</v>
      </c>
      <c r="I19" s="109">
        <v>2021</v>
      </c>
      <c r="K19" s="103">
        <v>18</v>
      </c>
    </row>
    <row r="20" spans="1:11" ht="11.25" customHeight="1" x14ac:dyDescent="0.15">
      <c r="A20" s="100"/>
      <c r="E20" s="50" t="s">
        <v>195</v>
      </c>
      <c r="H20" s="109">
        <v>2012</v>
      </c>
      <c r="I20" s="109">
        <v>2022</v>
      </c>
      <c r="K20" s="103">
        <v>19</v>
      </c>
    </row>
    <row r="21" spans="1:11" ht="11.25" customHeight="1" x14ac:dyDescent="0.15">
      <c r="A21" s="100"/>
      <c r="E21" s="50" t="s">
        <v>196</v>
      </c>
      <c r="H21" s="109">
        <v>2013</v>
      </c>
      <c r="I21" s="109">
        <v>2023</v>
      </c>
      <c r="K21" s="103">
        <v>20</v>
      </c>
    </row>
    <row r="22" spans="1:11" ht="11.25" customHeight="1" x14ac:dyDescent="0.15">
      <c r="A22" s="100"/>
      <c r="E22" s="50" t="s">
        <v>197</v>
      </c>
      <c r="H22" s="109">
        <v>2014</v>
      </c>
      <c r="I22" s="109">
        <v>2024</v>
      </c>
      <c r="K22" s="103">
        <v>21</v>
      </c>
    </row>
    <row r="23" spans="1:11" ht="11.25" customHeight="1" x14ac:dyDescent="0.15">
      <c r="A23" s="100"/>
      <c r="E23" s="50" t="s">
        <v>198</v>
      </c>
      <c r="H23" s="109">
        <v>2015</v>
      </c>
      <c r="I23" s="109">
        <v>2025</v>
      </c>
      <c r="K23" s="103">
        <v>22</v>
      </c>
    </row>
    <row r="24" spans="1:11" ht="11.25" customHeight="1" x14ac:dyDescent="0.15">
      <c r="A24" s="100"/>
      <c r="E24" s="50" t="s">
        <v>199</v>
      </c>
      <c r="H24" s="109">
        <v>2016</v>
      </c>
      <c r="I24" s="109">
        <v>2026</v>
      </c>
      <c r="K24" s="103">
        <v>23</v>
      </c>
    </row>
    <row r="25" spans="1:11" ht="11.25" customHeight="1" x14ac:dyDescent="0.15">
      <c r="A25" s="100"/>
      <c r="E25" s="50" t="s">
        <v>200</v>
      </c>
      <c r="H25" s="109">
        <v>2017</v>
      </c>
      <c r="I25" s="109">
        <v>2027</v>
      </c>
      <c r="K25" s="103">
        <v>24</v>
      </c>
    </row>
    <row r="26" spans="1:11" ht="11.25" customHeight="1" x14ac:dyDescent="0.15">
      <c r="A26" s="100"/>
      <c r="E26" s="50" t="s">
        <v>201</v>
      </c>
      <c r="K26" s="103">
        <v>25</v>
      </c>
    </row>
    <row r="27" spans="1:11" ht="11.25" customHeight="1" x14ac:dyDescent="0.15">
      <c r="A27" s="100"/>
      <c r="E27" s="50" t="s">
        <v>202</v>
      </c>
      <c r="K27" s="103">
        <v>26</v>
      </c>
    </row>
    <row r="28" spans="1:11" ht="11.25" customHeight="1" x14ac:dyDescent="0.15">
      <c r="A28" s="100"/>
      <c r="E28" s="50" t="s">
        <v>203</v>
      </c>
      <c r="H28" s="212" t="s">
        <v>204</v>
      </c>
      <c r="K28" s="103">
        <v>27</v>
      </c>
    </row>
    <row r="29" spans="1:11" ht="11.25" customHeight="1" x14ac:dyDescent="0.15">
      <c r="A29" s="100"/>
      <c r="E29" s="50" t="s">
        <v>205</v>
      </c>
      <c r="H29" s="109">
        <f>FIRST_PERIOD_IN_LT</f>
        <v>2025</v>
      </c>
      <c r="K29" s="103">
        <v>28</v>
      </c>
    </row>
    <row r="30" spans="1:11" ht="11.25" customHeight="1" x14ac:dyDescent="0.15">
      <c r="A30" s="100"/>
      <c r="E30" s="50" t="s">
        <v>206</v>
      </c>
      <c r="H30" s="109">
        <f>(FIRST_PERIOD_IN_LT+1)</f>
        <v>2026</v>
      </c>
      <c r="K30" s="103">
        <v>29</v>
      </c>
    </row>
    <row r="31" spans="1:11" ht="11.25" customHeight="1" x14ac:dyDescent="0.15">
      <c r="A31" s="100"/>
      <c r="E31" s="50" t="s">
        <v>207</v>
      </c>
      <c r="H31" s="109">
        <f>FIRST_PERIOD_IN_LT+2</f>
        <v>2027</v>
      </c>
      <c r="K31" s="103">
        <v>30</v>
      </c>
    </row>
    <row r="32" spans="1:11" ht="11.25" customHeight="1" x14ac:dyDescent="0.15">
      <c r="A32" s="100"/>
      <c r="K32" s="103">
        <v>31</v>
      </c>
    </row>
    <row r="33" spans="1:8" ht="11.25" customHeight="1" x14ac:dyDescent="0.15">
      <c r="A33" s="100"/>
    </row>
    <row r="34" spans="1:8" ht="11.25" customHeight="1" x14ac:dyDescent="0.15">
      <c r="A34" s="100"/>
    </row>
    <row r="35" spans="1:8" ht="11.25" customHeight="1" x14ac:dyDescent="0.15">
      <c r="A35" s="100"/>
    </row>
    <row r="36" spans="1:8" ht="11.25" customHeight="1" x14ac:dyDescent="0.15">
      <c r="A36" s="100"/>
      <c r="H36" s="111" t="s">
        <v>208</v>
      </c>
    </row>
    <row r="37" spans="1:8" ht="11.25" customHeight="1" x14ac:dyDescent="0.15">
      <c r="A37" s="100"/>
      <c r="H37" s="109">
        <f>FIRST_PERIOD_IN_LT</f>
        <v>2025</v>
      </c>
    </row>
    <row r="38" spans="1:8" ht="11.25" customHeight="1" x14ac:dyDescent="0.15">
      <c r="A38" s="100"/>
      <c r="H38" s="109">
        <f>FIRST_PERIOD_IN_LT+1</f>
        <v>2026</v>
      </c>
    </row>
    <row r="39" spans="1:8" ht="11.25" customHeight="1" x14ac:dyDescent="0.15">
      <c r="A39" s="100"/>
      <c r="H39" s="109">
        <f>FIRST_PERIOD_IN_LT+2</f>
        <v>2027</v>
      </c>
    </row>
    <row r="40" spans="1:8" ht="11.25" customHeight="1" x14ac:dyDescent="0.15">
      <c r="A40" s="100"/>
      <c r="H40" s="109">
        <f>FIRST_PERIOD_IN_LT+3</f>
        <v>2028</v>
      </c>
    </row>
    <row r="41" spans="1:8" ht="11.25" customHeight="1" x14ac:dyDescent="0.15">
      <c r="A41" s="100"/>
    </row>
    <row r="42" spans="1:8" ht="11.25" customHeight="1" x14ac:dyDescent="0.15">
      <c r="A42" s="100"/>
    </row>
    <row r="43" spans="1:8" ht="11.25" customHeight="1" x14ac:dyDescent="0.15">
      <c r="A43" s="100"/>
      <c r="H43" s="111" t="s">
        <v>209</v>
      </c>
    </row>
    <row r="44" spans="1:8" ht="11.25" customHeight="1" x14ac:dyDescent="0.15">
      <c r="A44" s="100"/>
      <c r="H44" s="109">
        <f>FIRST_PERIOD_IN_LT</f>
        <v>2025</v>
      </c>
    </row>
    <row r="45" spans="1:8" ht="11.25" customHeight="1" x14ac:dyDescent="0.15">
      <c r="A45" s="100"/>
      <c r="H45" s="109">
        <f>FIRST_PERIOD_IN_LT+1</f>
        <v>2026</v>
      </c>
    </row>
    <row r="46" spans="1:8" ht="11.25" customHeight="1" x14ac:dyDescent="0.15">
      <c r="A46" s="100"/>
      <c r="H46" s="109">
        <f>FIRST_PERIOD_IN_LT+2</f>
        <v>2027</v>
      </c>
    </row>
    <row r="47" spans="1:8" ht="11.25" customHeight="1" x14ac:dyDescent="0.15">
      <c r="A47" s="100"/>
      <c r="H47" s="109">
        <f>FIRST_PERIOD_IN_LT+3</f>
        <v>2028</v>
      </c>
    </row>
    <row r="48" spans="1:8" ht="11.25" customHeight="1" x14ac:dyDescent="0.15">
      <c r="A48" s="100"/>
      <c r="H48" s="109">
        <f>FIRST_PERIOD_IN_LT+4</f>
        <v>2029</v>
      </c>
    </row>
    <row r="49" spans="1:8" ht="11.25" customHeight="1" x14ac:dyDescent="0.15">
      <c r="A49" s="100"/>
    </row>
    <row r="50" spans="1:8" ht="11.25" customHeight="1" x14ac:dyDescent="0.15">
      <c r="A50" s="100"/>
      <c r="H50" s="111" t="s">
        <v>210</v>
      </c>
    </row>
    <row r="51" spans="1:8" ht="11.25" customHeight="1" x14ac:dyDescent="0.15">
      <c r="A51" s="100"/>
      <c r="H51" t="s">
        <v>211</v>
      </c>
    </row>
    <row r="52" spans="1:8" ht="11.25" customHeight="1" x14ac:dyDescent="0.15">
      <c r="A52" s="100"/>
      <c r="H52" t="s">
        <v>212</v>
      </c>
    </row>
    <row r="53" spans="1:8" ht="11.25" customHeight="1" x14ac:dyDescent="0.15">
      <c r="A53" s="100"/>
    </row>
    <row r="54" spans="1:8" ht="11.25" customHeight="1" x14ac:dyDescent="0.15">
      <c r="A54" s="100"/>
      <c r="H54" s="111" t="s">
        <v>213</v>
      </c>
    </row>
    <row r="55" spans="1:8" ht="11.25" customHeight="1" x14ac:dyDescent="0.15">
      <c r="A55" s="100"/>
      <c r="H55" t="s">
        <v>214</v>
      </c>
    </row>
    <row r="56" spans="1:8" ht="11.25" customHeight="1" x14ac:dyDescent="0.15">
      <c r="A56" s="100"/>
      <c r="H56" t="s">
        <v>215</v>
      </c>
    </row>
    <row r="57" spans="1:8" ht="11.25" customHeight="1" x14ac:dyDescent="0.15">
      <c r="A57" s="100"/>
    </row>
    <row r="58" spans="1:8" ht="11.25" customHeight="1" x14ac:dyDescent="0.15">
      <c r="A58" s="100"/>
    </row>
    <row r="59" spans="1:8" ht="11.25" customHeight="1" x14ac:dyDescent="0.15">
      <c r="A59" s="100"/>
    </row>
    <row r="60" spans="1:8" ht="11.25" customHeight="1" x14ac:dyDescent="0.15">
      <c r="A60" s="100"/>
    </row>
    <row r="61" spans="1:8" ht="11.25" customHeight="1" x14ac:dyDescent="0.15">
      <c r="A61" s="100"/>
    </row>
    <row r="62" spans="1:8" ht="11.25" customHeight="1" x14ac:dyDescent="0.15">
      <c r="A62" s="100"/>
    </row>
    <row r="63" spans="1:8" ht="11.25" customHeight="1" x14ac:dyDescent="0.15">
      <c r="A63" s="100"/>
    </row>
    <row r="64" spans="1:8" ht="11.25" customHeight="1" x14ac:dyDescent="0.15">
      <c r="A64" s="100"/>
    </row>
    <row r="65" spans="1:1" ht="11.25" customHeight="1" x14ac:dyDescent="0.15">
      <c r="A65" s="100"/>
    </row>
    <row r="66" spans="1:1" ht="11.25" customHeight="1" x14ac:dyDescent="0.15">
      <c r="A66" s="100"/>
    </row>
    <row r="67" spans="1:1" ht="11.25" customHeight="1" x14ac:dyDescent="0.15">
      <c r="A67" s="100"/>
    </row>
    <row r="68" spans="1:1" ht="11.25" customHeight="1" x14ac:dyDescent="0.15">
      <c r="A68" s="100"/>
    </row>
    <row r="69" spans="1:1" ht="11.25" customHeight="1" x14ac:dyDescent="0.15">
      <c r="A69" s="100"/>
    </row>
    <row r="70" spans="1:1" ht="11.25" customHeight="1" x14ac:dyDescent="0.15">
      <c r="A70" s="100"/>
    </row>
    <row r="71" spans="1:1" ht="11.25" customHeight="1" x14ac:dyDescent="0.15">
      <c r="A71" s="100"/>
    </row>
    <row r="72" spans="1:1" ht="11.25" customHeight="1" x14ac:dyDescent="0.15">
      <c r="A72" s="100"/>
    </row>
    <row r="73" spans="1:1" ht="11.25" customHeight="1" x14ac:dyDescent="0.15">
      <c r="A73" s="100"/>
    </row>
    <row r="74" spans="1:1" ht="11.25" customHeight="1" x14ac:dyDescent="0.15">
      <c r="A74" s="100"/>
    </row>
    <row r="75" spans="1:1" ht="11.25" customHeight="1" x14ac:dyDescent="0.15">
      <c r="A75" s="100"/>
    </row>
    <row r="76" spans="1:1" ht="11.25" customHeight="1" x14ac:dyDescent="0.15">
      <c r="A76" s="100"/>
    </row>
    <row r="77" spans="1:1" ht="11.25" customHeight="1" x14ac:dyDescent="0.15">
      <c r="A77" s="100"/>
    </row>
    <row r="78" spans="1:1" ht="11.25" customHeight="1" x14ac:dyDescent="0.15">
      <c r="A78" s="100"/>
    </row>
    <row r="79" spans="1:1" ht="11.25" customHeight="1" x14ac:dyDescent="0.15">
      <c r="A79" s="100"/>
    </row>
    <row r="80" spans="1:1" ht="11.25" customHeight="1" x14ac:dyDescent="0.15">
      <c r="A80" s="100"/>
    </row>
    <row r="81" spans="1:1" ht="11.25" customHeight="1" x14ac:dyDescent="0.15">
      <c r="A81" s="100"/>
    </row>
    <row r="82" spans="1:1" ht="11.25" customHeight="1" x14ac:dyDescent="0.15">
      <c r="A82" s="100"/>
    </row>
    <row r="83" spans="1:1" ht="11.25" customHeight="1" x14ac:dyDescent="0.15">
      <c r="A83" s="100"/>
    </row>
    <row r="84" spans="1:1" ht="11.25" customHeight="1" x14ac:dyDescent="0.15">
      <c r="A84" s="100"/>
    </row>
    <row r="85" spans="1:1" ht="11.25" customHeight="1" x14ac:dyDescent="0.15">
      <c r="A85" s="100"/>
    </row>
    <row r="86" spans="1:1" ht="11.25" customHeight="1" x14ac:dyDescent="0.15">
      <c r="A86" s="100"/>
    </row>
    <row r="87" spans="1:1" ht="11.25" customHeight="1" x14ac:dyDescent="0.15">
      <c r="A87" s="100"/>
    </row>
  </sheetData>
  <sheetProtection formatColumns="0" formatRows="0" insertRows="0" deleteColumns="0" deleteRows="0" sort="0" autoFilter="0"/>
  <mergeCells count="1">
    <mergeCell ref="L14:P14"/>
  </mergeCells>
  <pageMargins left="0.75" right="0.75" top="1" bottom="1" header="0.5" footer="0.5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N80"/>
  <sheetViews>
    <sheetView showGridLines="0" workbookViewId="0"/>
  </sheetViews>
  <sheetFormatPr defaultColWidth="9.140625" defaultRowHeight="11.25" customHeight="1" x14ac:dyDescent="0.15"/>
  <sheetData>
    <row r="1" spans="1:14" ht="11.25" customHeight="1" x14ac:dyDescent="0.15">
      <c r="A1" t="s">
        <v>216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224</v>
      </c>
      <c r="J1" t="s">
        <v>225</v>
      </c>
      <c r="K1" t="s">
        <v>226</v>
      </c>
      <c r="L1" t="s">
        <v>227</v>
      </c>
      <c r="M1" t="s">
        <v>228</v>
      </c>
      <c r="N1" t="s">
        <v>229</v>
      </c>
    </row>
    <row r="2" spans="1:14" ht="11.25" customHeight="1" x14ac:dyDescent="0.15">
      <c r="A2" t="s">
        <v>230</v>
      </c>
      <c r="B2" t="s">
        <v>174</v>
      </c>
      <c r="C2" t="s">
        <v>231</v>
      </c>
      <c r="D2" t="s">
        <v>232</v>
      </c>
      <c r="E2" t="s">
        <v>233</v>
      </c>
      <c r="F2" t="s">
        <v>234</v>
      </c>
      <c r="G2" t="s">
        <v>235</v>
      </c>
      <c r="H2" t="s">
        <v>235</v>
      </c>
      <c r="I2" t="s">
        <v>236</v>
      </c>
      <c r="J2" t="s">
        <v>235</v>
      </c>
      <c r="K2" t="s">
        <v>235</v>
      </c>
      <c r="L2" t="s">
        <v>237</v>
      </c>
      <c r="M2" t="s">
        <v>238</v>
      </c>
      <c r="N2" t="s">
        <v>6</v>
      </c>
    </row>
    <row r="3" spans="1:14" ht="11.25" customHeight="1" x14ac:dyDescent="0.15">
      <c r="A3" t="s">
        <v>230</v>
      </c>
      <c r="B3" t="s">
        <v>174</v>
      </c>
      <c r="C3" t="s">
        <v>239</v>
      </c>
      <c r="D3" t="s">
        <v>240</v>
      </c>
      <c r="E3" t="s">
        <v>241</v>
      </c>
      <c r="F3" t="s">
        <v>242</v>
      </c>
      <c r="G3" t="s">
        <v>243</v>
      </c>
      <c r="H3" t="s">
        <v>235</v>
      </c>
      <c r="I3" t="s">
        <v>244</v>
      </c>
      <c r="J3" t="s">
        <v>235</v>
      </c>
      <c r="K3" t="s">
        <v>235</v>
      </c>
      <c r="L3" t="s">
        <v>245</v>
      </c>
      <c r="M3" t="s">
        <v>246</v>
      </c>
      <c r="N3" t="s">
        <v>6</v>
      </c>
    </row>
    <row r="4" spans="1:14" ht="11.25" customHeight="1" x14ac:dyDescent="0.15">
      <c r="A4" t="s">
        <v>230</v>
      </c>
      <c r="B4" t="s">
        <v>174</v>
      </c>
      <c r="C4" t="s">
        <v>247</v>
      </c>
      <c r="D4" t="s">
        <v>248</v>
      </c>
      <c r="E4" t="s">
        <v>249</v>
      </c>
      <c r="F4" t="s">
        <v>250</v>
      </c>
      <c r="G4" t="s">
        <v>251</v>
      </c>
      <c r="H4" t="s">
        <v>235</v>
      </c>
      <c r="I4" t="s">
        <v>252</v>
      </c>
      <c r="J4" t="s">
        <v>235</v>
      </c>
      <c r="K4" t="s">
        <v>235</v>
      </c>
      <c r="L4" t="s">
        <v>237</v>
      </c>
      <c r="M4" t="s">
        <v>238</v>
      </c>
      <c r="N4" t="s">
        <v>6</v>
      </c>
    </row>
    <row r="5" spans="1:14" ht="11.25" customHeight="1" x14ac:dyDescent="0.15">
      <c r="A5" t="s">
        <v>230</v>
      </c>
      <c r="B5" t="s">
        <v>174</v>
      </c>
      <c r="C5" t="s">
        <v>253</v>
      </c>
      <c r="D5" t="s">
        <v>254</v>
      </c>
      <c r="E5" t="s">
        <v>255</v>
      </c>
      <c r="F5" t="s">
        <v>256</v>
      </c>
      <c r="G5" t="s">
        <v>257</v>
      </c>
      <c r="H5" t="s">
        <v>235</v>
      </c>
      <c r="I5" t="s">
        <v>258</v>
      </c>
      <c r="J5" t="s">
        <v>235</v>
      </c>
      <c r="K5" t="s">
        <v>235</v>
      </c>
      <c r="L5" t="s">
        <v>237</v>
      </c>
      <c r="M5" t="s">
        <v>238</v>
      </c>
      <c r="N5" t="s">
        <v>6</v>
      </c>
    </row>
    <row r="6" spans="1:14" ht="11.25" customHeight="1" x14ac:dyDescent="0.15">
      <c r="A6" t="s">
        <v>230</v>
      </c>
      <c r="B6" t="s">
        <v>174</v>
      </c>
      <c r="C6" t="s">
        <v>259</v>
      </c>
      <c r="D6" t="s">
        <v>260</v>
      </c>
      <c r="E6" t="s">
        <v>261</v>
      </c>
      <c r="F6" t="s">
        <v>256</v>
      </c>
      <c r="G6" t="s">
        <v>235</v>
      </c>
      <c r="H6" t="s">
        <v>235</v>
      </c>
      <c r="I6" t="s">
        <v>252</v>
      </c>
      <c r="J6" t="s">
        <v>235</v>
      </c>
      <c r="K6" t="s">
        <v>235</v>
      </c>
      <c r="L6" t="s">
        <v>237</v>
      </c>
      <c r="M6" t="s">
        <v>238</v>
      </c>
      <c r="N6" t="s">
        <v>6</v>
      </c>
    </row>
    <row r="7" spans="1:14" ht="11.25" customHeight="1" x14ac:dyDescent="0.15">
      <c r="A7" t="s">
        <v>230</v>
      </c>
      <c r="B7" t="s">
        <v>174</v>
      </c>
      <c r="C7" t="s">
        <v>262</v>
      </c>
      <c r="D7" t="s">
        <v>263</v>
      </c>
      <c r="E7" t="s">
        <v>264</v>
      </c>
      <c r="F7" t="s">
        <v>265</v>
      </c>
      <c r="G7" t="s">
        <v>235</v>
      </c>
      <c r="H7" t="s">
        <v>235</v>
      </c>
      <c r="I7" t="s">
        <v>258</v>
      </c>
      <c r="J7" t="s">
        <v>235</v>
      </c>
      <c r="K7" t="s">
        <v>235</v>
      </c>
      <c r="L7" t="s">
        <v>237</v>
      </c>
      <c r="M7" t="s">
        <v>238</v>
      </c>
      <c r="N7" t="s">
        <v>6</v>
      </c>
    </row>
    <row r="8" spans="1:14" ht="11.25" customHeight="1" x14ac:dyDescent="0.15">
      <c r="A8" t="s">
        <v>230</v>
      </c>
      <c r="B8" t="s">
        <v>174</v>
      </c>
      <c r="C8" t="s">
        <v>266</v>
      </c>
      <c r="D8" t="s">
        <v>267</v>
      </c>
      <c r="E8" t="s">
        <v>268</v>
      </c>
      <c r="F8" t="s">
        <v>269</v>
      </c>
      <c r="G8" t="s">
        <v>270</v>
      </c>
      <c r="H8" t="s">
        <v>235</v>
      </c>
      <c r="I8" t="s">
        <v>271</v>
      </c>
      <c r="J8" t="s">
        <v>235</v>
      </c>
      <c r="K8" t="s">
        <v>235</v>
      </c>
      <c r="L8" t="s">
        <v>272</v>
      </c>
      <c r="M8" t="s">
        <v>273</v>
      </c>
      <c r="N8" t="s">
        <v>6</v>
      </c>
    </row>
    <row r="9" spans="1:14" ht="11.25" customHeight="1" x14ac:dyDescent="0.15">
      <c r="A9" t="s">
        <v>230</v>
      </c>
      <c r="B9" t="s">
        <v>174</v>
      </c>
      <c r="C9" t="s">
        <v>274</v>
      </c>
      <c r="D9" t="s">
        <v>275</v>
      </c>
      <c r="E9" t="s">
        <v>276</v>
      </c>
      <c r="F9" t="s">
        <v>277</v>
      </c>
      <c r="G9" t="s">
        <v>278</v>
      </c>
      <c r="H9" t="s">
        <v>235</v>
      </c>
      <c r="I9" t="s">
        <v>278</v>
      </c>
      <c r="J9" t="s">
        <v>235</v>
      </c>
      <c r="K9" t="s">
        <v>235</v>
      </c>
      <c r="L9" t="s">
        <v>279</v>
      </c>
      <c r="M9" t="s">
        <v>280</v>
      </c>
      <c r="N9" t="s">
        <v>6</v>
      </c>
    </row>
    <row r="10" spans="1:14" ht="11.25" customHeight="1" x14ac:dyDescent="0.15">
      <c r="A10" t="s">
        <v>230</v>
      </c>
      <c r="B10" t="s">
        <v>174</v>
      </c>
      <c r="C10" t="s">
        <v>281</v>
      </c>
      <c r="D10" t="s">
        <v>282</v>
      </c>
      <c r="E10" t="s">
        <v>283</v>
      </c>
      <c r="F10" t="s">
        <v>242</v>
      </c>
      <c r="G10" t="s">
        <v>284</v>
      </c>
      <c r="H10" t="s">
        <v>235</v>
      </c>
      <c r="I10" t="s">
        <v>285</v>
      </c>
      <c r="J10" t="s">
        <v>235</v>
      </c>
      <c r="K10" t="s">
        <v>235</v>
      </c>
      <c r="L10" t="s">
        <v>286</v>
      </c>
      <c r="M10" t="s">
        <v>287</v>
      </c>
      <c r="N10" t="s">
        <v>6</v>
      </c>
    </row>
    <row r="11" spans="1:14" ht="11.25" customHeight="1" x14ac:dyDescent="0.15">
      <c r="A11" t="s">
        <v>230</v>
      </c>
      <c r="B11" t="s">
        <v>174</v>
      </c>
      <c r="C11" t="s">
        <v>288</v>
      </c>
      <c r="D11" t="s">
        <v>289</v>
      </c>
      <c r="E11" t="s">
        <v>290</v>
      </c>
      <c r="F11" t="s">
        <v>242</v>
      </c>
      <c r="G11" t="s">
        <v>291</v>
      </c>
      <c r="H11" t="s">
        <v>235</v>
      </c>
      <c r="I11" t="s">
        <v>291</v>
      </c>
      <c r="J11" t="s">
        <v>235</v>
      </c>
      <c r="K11" t="s">
        <v>235</v>
      </c>
      <c r="L11" t="s">
        <v>292</v>
      </c>
      <c r="M11" t="s">
        <v>293</v>
      </c>
      <c r="N11" t="s">
        <v>6</v>
      </c>
    </row>
    <row r="12" spans="1:14" ht="11.25" customHeight="1" x14ac:dyDescent="0.15">
      <c r="A12" t="s">
        <v>230</v>
      </c>
      <c r="B12" t="s">
        <v>174</v>
      </c>
      <c r="C12" t="s">
        <v>294</v>
      </c>
      <c r="D12" t="s">
        <v>295</v>
      </c>
      <c r="E12" t="s">
        <v>296</v>
      </c>
      <c r="F12" t="s">
        <v>242</v>
      </c>
      <c r="G12" t="s">
        <v>235</v>
      </c>
      <c r="H12" t="s">
        <v>235</v>
      </c>
      <c r="I12" t="s">
        <v>252</v>
      </c>
      <c r="J12" t="s">
        <v>235</v>
      </c>
      <c r="K12" t="s">
        <v>235</v>
      </c>
      <c r="L12" t="s">
        <v>297</v>
      </c>
      <c r="M12" t="s">
        <v>298</v>
      </c>
      <c r="N12" t="s">
        <v>6</v>
      </c>
    </row>
    <row r="13" spans="1:14" ht="11.25" customHeight="1" x14ac:dyDescent="0.15">
      <c r="A13" t="s">
        <v>230</v>
      </c>
      <c r="B13" t="s">
        <v>174</v>
      </c>
      <c r="C13" t="s">
        <v>299</v>
      </c>
      <c r="D13" t="s">
        <v>300</v>
      </c>
      <c r="E13" t="s">
        <v>301</v>
      </c>
      <c r="F13" t="s">
        <v>242</v>
      </c>
      <c r="G13" t="s">
        <v>235</v>
      </c>
      <c r="H13" t="s">
        <v>235</v>
      </c>
      <c r="I13" t="s">
        <v>302</v>
      </c>
      <c r="J13" t="s">
        <v>235</v>
      </c>
      <c r="K13" t="s">
        <v>235</v>
      </c>
      <c r="L13" t="s">
        <v>297</v>
      </c>
      <c r="M13" t="s">
        <v>298</v>
      </c>
      <c r="N13" t="s">
        <v>6</v>
      </c>
    </row>
    <row r="14" spans="1:14" ht="11.25" customHeight="1" x14ac:dyDescent="0.15">
      <c r="A14" t="s">
        <v>230</v>
      </c>
      <c r="B14" t="s">
        <v>174</v>
      </c>
      <c r="C14" t="s">
        <v>303</v>
      </c>
      <c r="D14" t="s">
        <v>304</v>
      </c>
      <c r="E14" t="s">
        <v>305</v>
      </c>
      <c r="F14" t="s">
        <v>306</v>
      </c>
      <c r="G14" t="s">
        <v>235</v>
      </c>
      <c r="H14" t="s">
        <v>235</v>
      </c>
      <c r="I14" t="s">
        <v>307</v>
      </c>
      <c r="J14" t="s">
        <v>235</v>
      </c>
      <c r="K14" t="s">
        <v>235</v>
      </c>
      <c r="L14" t="s">
        <v>292</v>
      </c>
      <c r="M14" t="s">
        <v>293</v>
      </c>
      <c r="N14" t="s">
        <v>6</v>
      </c>
    </row>
    <row r="15" spans="1:14" ht="11.25" customHeight="1" x14ac:dyDescent="0.15">
      <c r="A15" t="s">
        <v>230</v>
      </c>
      <c r="B15" t="s">
        <v>174</v>
      </c>
      <c r="C15" t="s">
        <v>303</v>
      </c>
      <c r="D15" t="s">
        <v>304</v>
      </c>
      <c r="E15" t="s">
        <v>305</v>
      </c>
      <c r="F15" t="s">
        <v>306</v>
      </c>
      <c r="G15" t="s">
        <v>235</v>
      </c>
      <c r="H15" t="s">
        <v>235</v>
      </c>
      <c r="I15" t="s">
        <v>308</v>
      </c>
      <c r="J15" t="s">
        <v>235</v>
      </c>
      <c r="K15" t="s">
        <v>235</v>
      </c>
      <c r="L15" t="s">
        <v>286</v>
      </c>
      <c r="M15" t="s">
        <v>287</v>
      </c>
      <c r="N15" t="s">
        <v>6</v>
      </c>
    </row>
    <row r="16" spans="1:14" ht="11.25" customHeight="1" x14ac:dyDescent="0.15">
      <c r="A16" t="s">
        <v>230</v>
      </c>
      <c r="B16" t="s">
        <v>174</v>
      </c>
      <c r="C16" t="s">
        <v>309</v>
      </c>
      <c r="D16" t="s">
        <v>310</v>
      </c>
      <c r="E16" t="s">
        <v>311</v>
      </c>
      <c r="F16" t="s">
        <v>312</v>
      </c>
      <c r="G16" t="s">
        <v>235</v>
      </c>
      <c r="H16" t="s">
        <v>235</v>
      </c>
      <c r="I16" t="s">
        <v>313</v>
      </c>
      <c r="J16" t="s">
        <v>235</v>
      </c>
      <c r="K16" t="s">
        <v>235</v>
      </c>
      <c r="L16" t="s">
        <v>314</v>
      </c>
      <c r="M16" t="s">
        <v>315</v>
      </c>
      <c r="N16" t="s">
        <v>6</v>
      </c>
    </row>
    <row r="17" spans="1:14" ht="11.25" customHeight="1" x14ac:dyDescent="0.15">
      <c r="A17" t="s">
        <v>230</v>
      </c>
      <c r="B17" t="s">
        <v>174</v>
      </c>
      <c r="C17" t="s">
        <v>309</v>
      </c>
      <c r="D17" t="s">
        <v>310</v>
      </c>
      <c r="E17" t="s">
        <v>311</v>
      </c>
      <c r="F17" t="s">
        <v>312</v>
      </c>
      <c r="G17" t="s">
        <v>235</v>
      </c>
      <c r="H17" t="s">
        <v>235</v>
      </c>
      <c r="I17" t="s">
        <v>313</v>
      </c>
      <c r="J17" t="s">
        <v>235</v>
      </c>
      <c r="K17" t="s">
        <v>235</v>
      </c>
      <c r="L17" t="s">
        <v>316</v>
      </c>
      <c r="M17" t="s">
        <v>317</v>
      </c>
      <c r="N17" t="s">
        <v>6</v>
      </c>
    </row>
    <row r="18" spans="1:14" ht="11.25" customHeight="1" x14ac:dyDescent="0.15">
      <c r="A18" t="s">
        <v>230</v>
      </c>
      <c r="B18" t="s">
        <v>174</v>
      </c>
      <c r="C18" t="s">
        <v>318</v>
      </c>
      <c r="D18" t="s">
        <v>319</v>
      </c>
      <c r="E18" t="s">
        <v>320</v>
      </c>
      <c r="F18" t="s">
        <v>321</v>
      </c>
      <c r="G18" t="s">
        <v>322</v>
      </c>
      <c r="H18" t="s">
        <v>235</v>
      </c>
      <c r="I18" t="s">
        <v>258</v>
      </c>
      <c r="J18" t="s">
        <v>235</v>
      </c>
      <c r="K18" t="s">
        <v>235</v>
      </c>
      <c r="L18" t="s">
        <v>297</v>
      </c>
      <c r="M18" t="s">
        <v>298</v>
      </c>
      <c r="N18" t="s">
        <v>6</v>
      </c>
    </row>
    <row r="19" spans="1:14" ht="11.25" customHeight="1" x14ac:dyDescent="0.15">
      <c r="A19" t="s">
        <v>230</v>
      </c>
      <c r="B19" t="s">
        <v>174</v>
      </c>
      <c r="C19" t="s">
        <v>323</v>
      </c>
      <c r="D19" t="s">
        <v>324</v>
      </c>
      <c r="E19" t="s">
        <v>325</v>
      </c>
      <c r="F19" t="s">
        <v>326</v>
      </c>
      <c r="G19" t="s">
        <v>235</v>
      </c>
      <c r="H19" t="s">
        <v>235</v>
      </c>
      <c r="I19" t="s">
        <v>327</v>
      </c>
      <c r="J19" t="s">
        <v>235</v>
      </c>
      <c r="K19" t="s">
        <v>235</v>
      </c>
      <c r="L19" t="s">
        <v>286</v>
      </c>
      <c r="M19" t="s">
        <v>287</v>
      </c>
      <c r="N19" t="s">
        <v>6</v>
      </c>
    </row>
    <row r="20" spans="1:14" ht="11.25" customHeight="1" x14ac:dyDescent="0.15">
      <c r="A20" t="s">
        <v>230</v>
      </c>
      <c r="B20" t="s">
        <v>174</v>
      </c>
      <c r="C20" t="s">
        <v>328</v>
      </c>
      <c r="D20" t="s">
        <v>329</v>
      </c>
      <c r="E20" t="s">
        <v>330</v>
      </c>
      <c r="F20" t="s">
        <v>331</v>
      </c>
      <c r="G20" t="s">
        <v>235</v>
      </c>
      <c r="H20" t="s">
        <v>235</v>
      </c>
      <c r="I20" t="s">
        <v>332</v>
      </c>
      <c r="J20" t="s">
        <v>235</v>
      </c>
      <c r="K20" t="s">
        <v>235</v>
      </c>
      <c r="L20" t="s">
        <v>237</v>
      </c>
      <c r="M20" t="s">
        <v>238</v>
      </c>
      <c r="N20" t="s">
        <v>6</v>
      </c>
    </row>
    <row r="21" spans="1:14" ht="11.25" customHeight="1" x14ac:dyDescent="0.15">
      <c r="A21" t="s">
        <v>230</v>
      </c>
      <c r="B21" t="s">
        <v>174</v>
      </c>
      <c r="C21" t="s">
        <v>333</v>
      </c>
      <c r="D21" t="s">
        <v>334</v>
      </c>
      <c r="E21" t="s">
        <v>335</v>
      </c>
      <c r="F21" t="s">
        <v>336</v>
      </c>
      <c r="G21" t="s">
        <v>235</v>
      </c>
      <c r="H21" t="s">
        <v>235</v>
      </c>
      <c r="I21" t="s">
        <v>337</v>
      </c>
      <c r="J21" t="s">
        <v>235</v>
      </c>
      <c r="K21" t="s">
        <v>235</v>
      </c>
      <c r="L21" t="s">
        <v>279</v>
      </c>
      <c r="M21" t="s">
        <v>280</v>
      </c>
      <c r="N21" t="s">
        <v>6</v>
      </c>
    </row>
    <row r="22" spans="1:14" ht="11.25" customHeight="1" x14ac:dyDescent="0.15">
      <c r="A22" t="s">
        <v>230</v>
      </c>
      <c r="B22" t="s">
        <v>174</v>
      </c>
      <c r="C22" t="s">
        <v>338</v>
      </c>
      <c r="D22" t="s">
        <v>339</v>
      </c>
      <c r="E22" t="s">
        <v>340</v>
      </c>
      <c r="F22" t="s">
        <v>97</v>
      </c>
      <c r="G22" t="s">
        <v>341</v>
      </c>
      <c r="H22" t="s">
        <v>235</v>
      </c>
      <c r="I22" t="s">
        <v>341</v>
      </c>
      <c r="J22" t="s">
        <v>235</v>
      </c>
      <c r="K22" t="s">
        <v>235</v>
      </c>
      <c r="L22" t="s">
        <v>316</v>
      </c>
      <c r="M22" t="s">
        <v>317</v>
      </c>
      <c r="N22" t="s">
        <v>6</v>
      </c>
    </row>
    <row r="23" spans="1:14" ht="11.25" customHeight="1" x14ac:dyDescent="0.15">
      <c r="A23" t="s">
        <v>230</v>
      </c>
      <c r="B23" t="s">
        <v>174</v>
      </c>
      <c r="C23" t="s">
        <v>342</v>
      </c>
      <c r="D23" t="s">
        <v>343</v>
      </c>
      <c r="E23" t="s">
        <v>344</v>
      </c>
      <c r="F23" t="s">
        <v>345</v>
      </c>
      <c r="G23" t="s">
        <v>346</v>
      </c>
      <c r="H23" t="s">
        <v>235</v>
      </c>
      <c r="I23" t="s">
        <v>346</v>
      </c>
      <c r="J23" t="s">
        <v>235</v>
      </c>
      <c r="K23" t="s">
        <v>235</v>
      </c>
      <c r="L23" t="s">
        <v>316</v>
      </c>
      <c r="M23" t="s">
        <v>317</v>
      </c>
      <c r="N23" t="s">
        <v>6</v>
      </c>
    </row>
    <row r="24" spans="1:14" ht="11.25" customHeight="1" x14ac:dyDescent="0.15">
      <c r="A24" t="s">
        <v>230</v>
      </c>
      <c r="B24" t="s">
        <v>174</v>
      </c>
      <c r="C24" t="s">
        <v>347</v>
      </c>
      <c r="D24" t="s">
        <v>348</v>
      </c>
      <c r="E24" t="s">
        <v>349</v>
      </c>
      <c r="F24" t="s">
        <v>350</v>
      </c>
      <c r="G24" t="s">
        <v>351</v>
      </c>
      <c r="H24" t="s">
        <v>235</v>
      </c>
      <c r="I24" t="s">
        <v>352</v>
      </c>
      <c r="J24" t="s">
        <v>235</v>
      </c>
      <c r="K24" t="s">
        <v>235</v>
      </c>
      <c r="L24" t="s">
        <v>316</v>
      </c>
      <c r="M24" t="s">
        <v>317</v>
      </c>
      <c r="N24" t="s">
        <v>6</v>
      </c>
    </row>
    <row r="25" spans="1:14" ht="11.25" customHeight="1" x14ac:dyDescent="0.15">
      <c r="A25" t="s">
        <v>230</v>
      </c>
      <c r="B25" t="s">
        <v>174</v>
      </c>
      <c r="C25" t="s">
        <v>353</v>
      </c>
      <c r="D25" t="s">
        <v>354</v>
      </c>
      <c r="E25" t="s">
        <v>355</v>
      </c>
      <c r="F25" t="s">
        <v>356</v>
      </c>
      <c r="G25" t="s">
        <v>357</v>
      </c>
      <c r="H25" t="s">
        <v>235</v>
      </c>
      <c r="I25" t="s">
        <v>357</v>
      </c>
      <c r="J25" t="s">
        <v>235</v>
      </c>
      <c r="K25" t="s">
        <v>235</v>
      </c>
      <c r="L25" t="s">
        <v>316</v>
      </c>
      <c r="M25" t="s">
        <v>317</v>
      </c>
      <c r="N25" t="s">
        <v>6</v>
      </c>
    </row>
    <row r="26" spans="1:14" ht="11.25" customHeight="1" x14ac:dyDescent="0.15">
      <c r="A26" t="s">
        <v>230</v>
      </c>
      <c r="B26" t="s">
        <v>174</v>
      </c>
      <c r="C26" t="s">
        <v>358</v>
      </c>
      <c r="D26" t="s">
        <v>359</v>
      </c>
      <c r="E26" t="s">
        <v>360</v>
      </c>
      <c r="F26" t="s">
        <v>356</v>
      </c>
      <c r="G26" t="s">
        <v>361</v>
      </c>
      <c r="H26" t="s">
        <v>235</v>
      </c>
      <c r="I26" t="s">
        <v>361</v>
      </c>
      <c r="J26" t="s">
        <v>235</v>
      </c>
      <c r="K26" t="s">
        <v>235</v>
      </c>
      <c r="L26" t="s">
        <v>316</v>
      </c>
      <c r="M26" t="s">
        <v>317</v>
      </c>
      <c r="N26" t="s">
        <v>6</v>
      </c>
    </row>
    <row r="27" spans="1:14" ht="11.25" customHeight="1" x14ac:dyDescent="0.15">
      <c r="A27" t="s">
        <v>230</v>
      </c>
      <c r="B27" t="s">
        <v>174</v>
      </c>
      <c r="C27" t="s">
        <v>362</v>
      </c>
      <c r="D27" t="s">
        <v>363</v>
      </c>
      <c r="E27" t="s">
        <v>364</v>
      </c>
      <c r="F27" t="s">
        <v>356</v>
      </c>
      <c r="G27" t="s">
        <v>365</v>
      </c>
      <c r="H27" t="s">
        <v>235</v>
      </c>
      <c r="I27" t="s">
        <v>365</v>
      </c>
      <c r="J27" t="s">
        <v>235</v>
      </c>
      <c r="K27" t="s">
        <v>235</v>
      </c>
      <c r="L27" t="s">
        <v>316</v>
      </c>
      <c r="M27" t="s">
        <v>317</v>
      </c>
      <c r="N27" t="s">
        <v>6</v>
      </c>
    </row>
    <row r="28" spans="1:14" ht="11.25" customHeight="1" x14ac:dyDescent="0.15">
      <c r="A28" t="s">
        <v>230</v>
      </c>
      <c r="B28" t="s">
        <v>174</v>
      </c>
      <c r="C28" t="s">
        <v>366</v>
      </c>
      <c r="D28" t="s">
        <v>367</v>
      </c>
      <c r="E28" t="s">
        <v>368</v>
      </c>
      <c r="F28" t="s">
        <v>356</v>
      </c>
      <c r="G28" t="s">
        <v>365</v>
      </c>
      <c r="H28" t="s">
        <v>235</v>
      </c>
      <c r="I28" t="s">
        <v>365</v>
      </c>
      <c r="J28" t="s">
        <v>235</v>
      </c>
      <c r="K28" t="s">
        <v>235</v>
      </c>
      <c r="L28" t="s">
        <v>316</v>
      </c>
      <c r="M28" t="s">
        <v>317</v>
      </c>
      <c r="N28" t="s">
        <v>6</v>
      </c>
    </row>
    <row r="29" spans="1:14" ht="11.25" customHeight="1" x14ac:dyDescent="0.15">
      <c r="A29" t="s">
        <v>230</v>
      </c>
      <c r="B29" t="s">
        <v>174</v>
      </c>
      <c r="C29" t="s">
        <v>369</v>
      </c>
      <c r="D29" t="s">
        <v>370</v>
      </c>
      <c r="E29" t="s">
        <v>371</v>
      </c>
      <c r="F29" t="s">
        <v>356</v>
      </c>
      <c r="G29" t="s">
        <v>372</v>
      </c>
      <c r="H29" t="s">
        <v>235</v>
      </c>
      <c r="I29" t="s">
        <v>372</v>
      </c>
      <c r="J29" t="s">
        <v>235</v>
      </c>
      <c r="K29" t="s">
        <v>235</v>
      </c>
      <c r="L29" t="s">
        <v>316</v>
      </c>
      <c r="M29" t="s">
        <v>317</v>
      </c>
      <c r="N29" t="s">
        <v>6</v>
      </c>
    </row>
    <row r="30" spans="1:14" ht="11.25" customHeight="1" x14ac:dyDescent="0.15">
      <c r="A30" t="s">
        <v>230</v>
      </c>
      <c r="B30" t="s">
        <v>174</v>
      </c>
      <c r="C30" t="s">
        <v>373</v>
      </c>
      <c r="D30" t="s">
        <v>374</v>
      </c>
      <c r="E30" t="s">
        <v>375</v>
      </c>
      <c r="F30" t="s">
        <v>306</v>
      </c>
      <c r="G30" t="s">
        <v>376</v>
      </c>
      <c r="H30" t="s">
        <v>235</v>
      </c>
      <c r="I30" t="s">
        <v>376</v>
      </c>
      <c r="J30" t="s">
        <v>235</v>
      </c>
      <c r="K30" t="s">
        <v>235</v>
      </c>
      <c r="L30" t="s">
        <v>316</v>
      </c>
      <c r="M30" t="s">
        <v>317</v>
      </c>
      <c r="N30" t="s">
        <v>6</v>
      </c>
    </row>
    <row r="31" spans="1:14" ht="11.25" customHeight="1" x14ac:dyDescent="0.15">
      <c r="A31" t="s">
        <v>230</v>
      </c>
      <c r="B31" t="s">
        <v>174</v>
      </c>
      <c r="C31" t="s">
        <v>377</v>
      </c>
      <c r="D31" t="s">
        <v>378</v>
      </c>
      <c r="E31" t="s">
        <v>379</v>
      </c>
      <c r="F31" t="s">
        <v>306</v>
      </c>
      <c r="G31" t="s">
        <v>380</v>
      </c>
      <c r="H31" t="s">
        <v>235</v>
      </c>
      <c r="I31" t="s">
        <v>380</v>
      </c>
      <c r="J31" t="s">
        <v>235</v>
      </c>
      <c r="K31" t="s">
        <v>235</v>
      </c>
      <c r="L31" t="s">
        <v>316</v>
      </c>
      <c r="M31" t="s">
        <v>317</v>
      </c>
      <c r="N31" t="s">
        <v>6</v>
      </c>
    </row>
    <row r="32" spans="1:14" ht="11.25" customHeight="1" x14ac:dyDescent="0.15">
      <c r="A32" t="s">
        <v>230</v>
      </c>
      <c r="B32" t="s">
        <v>174</v>
      </c>
      <c r="C32" t="s">
        <v>381</v>
      </c>
      <c r="D32" t="s">
        <v>382</v>
      </c>
      <c r="E32" t="s">
        <v>383</v>
      </c>
      <c r="F32" t="s">
        <v>306</v>
      </c>
      <c r="G32" t="s">
        <v>376</v>
      </c>
      <c r="H32" t="s">
        <v>235</v>
      </c>
      <c r="I32" t="s">
        <v>376</v>
      </c>
      <c r="J32" t="s">
        <v>235</v>
      </c>
      <c r="K32" t="s">
        <v>235</v>
      </c>
      <c r="L32" t="s">
        <v>316</v>
      </c>
      <c r="M32" t="s">
        <v>317</v>
      </c>
      <c r="N32" t="s">
        <v>6</v>
      </c>
    </row>
    <row r="33" spans="1:14" ht="11.25" customHeight="1" x14ac:dyDescent="0.15">
      <c r="A33" t="s">
        <v>230</v>
      </c>
      <c r="B33" t="s">
        <v>174</v>
      </c>
      <c r="C33" t="s">
        <v>384</v>
      </c>
      <c r="D33" t="s">
        <v>385</v>
      </c>
      <c r="E33" t="s">
        <v>386</v>
      </c>
      <c r="F33" t="s">
        <v>387</v>
      </c>
      <c r="G33" t="s">
        <v>388</v>
      </c>
      <c r="H33" t="s">
        <v>235</v>
      </c>
      <c r="I33" t="s">
        <v>388</v>
      </c>
      <c r="J33" t="s">
        <v>235</v>
      </c>
      <c r="K33" t="s">
        <v>235</v>
      </c>
      <c r="L33" t="s">
        <v>316</v>
      </c>
      <c r="M33" t="s">
        <v>317</v>
      </c>
      <c r="N33" t="s">
        <v>6</v>
      </c>
    </row>
    <row r="34" spans="1:14" ht="11.25" customHeight="1" x14ac:dyDescent="0.15">
      <c r="A34" t="s">
        <v>230</v>
      </c>
      <c r="B34" t="s">
        <v>174</v>
      </c>
      <c r="C34" t="s">
        <v>389</v>
      </c>
      <c r="D34" t="s">
        <v>390</v>
      </c>
      <c r="E34" t="s">
        <v>391</v>
      </c>
      <c r="F34" t="s">
        <v>392</v>
      </c>
      <c r="G34" t="s">
        <v>393</v>
      </c>
      <c r="H34" t="s">
        <v>235</v>
      </c>
      <c r="I34" t="s">
        <v>393</v>
      </c>
      <c r="J34" t="s">
        <v>235</v>
      </c>
      <c r="K34" t="s">
        <v>235</v>
      </c>
      <c r="L34" t="s">
        <v>316</v>
      </c>
      <c r="M34" t="s">
        <v>317</v>
      </c>
      <c r="N34" t="s">
        <v>6</v>
      </c>
    </row>
    <row r="35" spans="1:14" ht="11.25" customHeight="1" x14ac:dyDescent="0.15">
      <c r="A35" t="s">
        <v>230</v>
      </c>
      <c r="B35" t="s">
        <v>174</v>
      </c>
      <c r="C35" t="s">
        <v>394</v>
      </c>
      <c r="D35" t="s">
        <v>395</v>
      </c>
      <c r="E35" t="s">
        <v>396</v>
      </c>
      <c r="F35" t="s">
        <v>345</v>
      </c>
      <c r="G35" t="s">
        <v>397</v>
      </c>
      <c r="H35" t="s">
        <v>235</v>
      </c>
      <c r="I35" t="s">
        <v>398</v>
      </c>
      <c r="J35" t="s">
        <v>235</v>
      </c>
      <c r="K35" t="s">
        <v>235</v>
      </c>
      <c r="L35" t="s">
        <v>316</v>
      </c>
      <c r="M35" t="s">
        <v>317</v>
      </c>
      <c r="N35" t="s">
        <v>6</v>
      </c>
    </row>
    <row r="36" spans="1:14" ht="11.25" customHeight="1" x14ac:dyDescent="0.15">
      <c r="A36" t="s">
        <v>230</v>
      </c>
      <c r="B36" t="s">
        <v>174</v>
      </c>
      <c r="C36" t="s">
        <v>399</v>
      </c>
      <c r="D36" t="s">
        <v>400</v>
      </c>
      <c r="E36" t="s">
        <v>401</v>
      </c>
      <c r="F36" t="s">
        <v>387</v>
      </c>
      <c r="G36" t="s">
        <v>235</v>
      </c>
      <c r="H36" t="s">
        <v>235</v>
      </c>
      <c r="I36" t="s">
        <v>402</v>
      </c>
      <c r="J36" t="s">
        <v>235</v>
      </c>
      <c r="K36" t="s">
        <v>235</v>
      </c>
      <c r="L36" t="s">
        <v>316</v>
      </c>
      <c r="M36" t="s">
        <v>317</v>
      </c>
      <c r="N36" t="s">
        <v>6</v>
      </c>
    </row>
    <row r="37" spans="1:14" ht="11.25" customHeight="1" x14ac:dyDescent="0.15">
      <c r="A37" t="s">
        <v>230</v>
      </c>
      <c r="B37" t="s">
        <v>174</v>
      </c>
      <c r="C37" t="s">
        <v>403</v>
      </c>
      <c r="D37" t="s">
        <v>404</v>
      </c>
      <c r="E37" t="s">
        <v>405</v>
      </c>
      <c r="F37" t="s">
        <v>356</v>
      </c>
      <c r="G37" t="s">
        <v>406</v>
      </c>
      <c r="H37" t="s">
        <v>235</v>
      </c>
      <c r="I37" t="s">
        <v>406</v>
      </c>
      <c r="J37" t="s">
        <v>235</v>
      </c>
      <c r="K37" t="s">
        <v>235</v>
      </c>
      <c r="L37" t="s">
        <v>316</v>
      </c>
      <c r="M37" t="s">
        <v>317</v>
      </c>
      <c r="N37" t="s">
        <v>6</v>
      </c>
    </row>
    <row r="38" spans="1:14" ht="11.25" customHeight="1" x14ac:dyDescent="0.15">
      <c r="A38" t="s">
        <v>230</v>
      </c>
      <c r="B38" t="s">
        <v>174</v>
      </c>
      <c r="C38" t="s">
        <v>407</v>
      </c>
      <c r="D38" t="s">
        <v>408</v>
      </c>
      <c r="E38" t="s">
        <v>409</v>
      </c>
      <c r="F38" t="s">
        <v>356</v>
      </c>
      <c r="G38" t="s">
        <v>365</v>
      </c>
      <c r="H38" t="s">
        <v>235</v>
      </c>
      <c r="I38" t="s">
        <v>365</v>
      </c>
      <c r="J38" t="s">
        <v>235</v>
      </c>
      <c r="K38" t="s">
        <v>235</v>
      </c>
      <c r="L38" t="s">
        <v>316</v>
      </c>
      <c r="M38" t="s">
        <v>317</v>
      </c>
      <c r="N38" t="s">
        <v>6</v>
      </c>
    </row>
    <row r="39" spans="1:14" ht="11.25" customHeight="1" x14ac:dyDescent="0.15">
      <c r="A39" t="s">
        <v>230</v>
      </c>
      <c r="B39" t="s">
        <v>174</v>
      </c>
      <c r="C39" t="s">
        <v>410</v>
      </c>
      <c r="D39" t="s">
        <v>411</v>
      </c>
      <c r="E39" t="s">
        <v>412</v>
      </c>
      <c r="F39" t="s">
        <v>356</v>
      </c>
      <c r="G39" t="s">
        <v>361</v>
      </c>
      <c r="H39" t="s">
        <v>235</v>
      </c>
      <c r="I39" t="s">
        <v>361</v>
      </c>
      <c r="J39" t="s">
        <v>235</v>
      </c>
      <c r="K39" t="s">
        <v>235</v>
      </c>
      <c r="L39" t="s">
        <v>316</v>
      </c>
      <c r="M39" t="s">
        <v>317</v>
      </c>
      <c r="N39" t="s">
        <v>6</v>
      </c>
    </row>
    <row r="40" spans="1:14" ht="11.25" customHeight="1" x14ac:dyDescent="0.15">
      <c r="A40" t="s">
        <v>230</v>
      </c>
      <c r="B40" t="s">
        <v>174</v>
      </c>
      <c r="C40" t="s">
        <v>413</v>
      </c>
      <c r="D40" t="s">
        <v>414</v>
      </c>
      <c r="E40" t="s">
        <v>415</v>
      </c>
      <c r="F40" t="s">
        <v>387</v>
      </c>
      <c r="G40" t="s">
        <v>416</v>
      </c>
      <c r="H40" t="s">
        <v>235</v>
      </c>
      <c r="I40" t="s">
        <v>417</v>
      </c>
      <c r="J40" t="s">
        <v>235</v>
      </c>
      <c r="K40" t="s">
        <v>235</v>
      </c>
      <c r="L40" t="s">
        <v>316</v>
      </c>
      <c r="M40" t="s">
        <v>317</v>
      </c>
      <c r="N40" t="s">
        <v>6</v>
      </c>
    </row>
    <row r="41" spans="1:14" ht="11.25" customHeight="1" x14ac:dyDescent="0.15">
      <c r="A41" t="s">
        <v>230</v>
      </c>
      <c r="B41" t="s">
        <v>174</v>
      </c>
      <c r="C41" t="s">
        <v>418</v>
      </c>
      <c r="D41" t="s">
        <v>419</v>
      </c>
      <c r="E41" t="s">
        <v>420</v>
      </c>
      <c r="F41" t="s">
        <v>421</v>
      </c>
      <c r="G41" t="s">
        <v>422</v>
      </c>
      <c r="H41" t="s">
        <v>235</v>
      </c>
      <c r="I41" t="s">
        <v>423</v>
      </c>
      <c r="J41" t="s">
        <v>235</v>
      </c>
      <c r="K41" t="s">
        <v>235</v>
      </c>
      <c r="L41" t="s">
        <v>286</v>
      </c>
      <c r="M41" t="s">
        <v>287</v>
      </c>
      <c r="N41" t="s">
        <v>6</v>
      </c>
    </row>
    <row r="42" spans="1:14" ht="11.25" customHeight="1" x14ac:dyDescent="0.15">
      <c r="A42" t="s">
        <v>230</v>
      </c>
      <c r="B42" t="s">
        <v>174</v>
      </c>
      <c r="C42" t="s">
        <v>424</v>
      </c>
      <c r="D42" t="s">
        <v>425</v>
      </c>
      <c r="E42" t="s">
        <v>426</v>
      </c>
      <c r="F42" t="s">
        <v>421</v>
      </c>
      <c r="G42" t="s">
        <v>427</v>
      </c>
      <c r="H42" t="s">
        <v>235</v>
      </c>
      <c r="I42" t="s">
        <v>428</v>
      </c>
      <c r="J42" t="s">
        <v>235</v>
      </c>
      <c r="K42" t="s">
        <v>235</v>
      </c>
      <c r="L42" t="s">
        <v>316</v>
      </c>
      <c r="M42" t="s">
        <v>317</v>
      </c>
      <c r="N42" t="s">
        <v>6</v>
      </c>
    </row>
    <row r="43" spans="1:14" ht="11.25" customHeight="1" x14ac:dyDescent="0.15">
      <c r="A43" t="s">
        <v>230</v>
      </c>
      <c r="B43" t="s">
        <v>174</v>
      </c>
      <c r="C43" t="s">
        <v>429</v>
      </c>
      <c r="D43" t="s">
        <v>430</v>
      </c>
      <c r="E43" t="s">
        <v>431</v>
      </c>
      <c r="F43" t="s">
        <v>242</v>
      </c>
      <c r="G43" t="s">
        <v>432</v>
      </c>
      <c r="H43" t="s">
        <v>235</v>
      </c>
      <c r="I43" t="s">
        <v>308</v>
      </c>
      <c r="J43" t="s">
        <v>235</v>
      </c>
      <c r="K43" t="s">
        <v>235</v>
      </c>
      <c r="L43" t="s">
        <v>279</v>
      </c>
      <c r="M43" t="s">
        <v>280</v>
      </c>
      <c r="N43" t="s">
        <v>6</v>
      </c>
    </row>
    <row r="44" spans="1:14" ht="11.25" customHeight="1" x14ac:dyDescent="0.15">
      <c r="A44" t="s">
        <v>230</v>
      </c>
      <c r="B44" t="s">
        <v>174</v>
      </c>
      <c r="C44" t="s">
        <v>433</v>
      </c>
      <c r="D44" t="s">
        <v>434</v>
      </c>
      <c r="E44" t="s">
        <v>435</v>
      </c>
      <c r="F44" t="s">
        <v>436</v>
      </c>
      <c r="G44" t="s">
        <v>437</v>
      </c>
      <c r="H44" t="s">
        <v>235</v>
      </c>
      <c r="I44" t="s">
        <v>438</v>
      </c>
      <c r="J44" t="s">
        <v>235</v>
      </c>
      <c r="K44" t="s">
        <v>235</v>
      </c>
      <c r="L44" t="s">
        <v>279</v>
      </c>
      <c r="M44" t="s">
        <v>280</v>
      </c>
      <c r="N44" t="s">
        <v>6</v>
      </c>
    </row>
    <row r="45" spans="1:14" ht="11.25" customHeight="1" x14ac:dyDescent="0.15">
      <c r="A45" t="s">
        <v>230</v>
      </c>
      <c r="B45" t="s">
        <v>174</v>
      </c>
      <c r="C45" t="s">
        <v>439</v>
      </c>
      <c r="D45" t="s">
        <v>440</v>
      </c>
      <c r="E45" t="s">
        <v>441</v>
      </c>
      <c r="F45" t="s">
        <v>436</v>
      </c>
      <c r="G45" t="s">
        <v>235</v>
      </c>
      <c r="H45" t="s">
        <v>235</v>
      </c>
      <c r="I45" t="s">
        <v>252</v>
      </c>
      <c r="J45" t="s">
        <v>235</v>
      </c>
      <c r="K45" t="s">
        <v>235</v>
      </c>
      <c r="L45" t="s">
        <v>279</v>
      </c>
      <c r="M45" t="s">
        <v>280</v>
      </c>
      <c r="N45" t="s">
        <v>6</v>
      </c>
    </row>
    <row r="46" spans="1:14" ht="11.25" customHeight="1" x14ac:dyDescent="0.15">
      <c r="A46" t="s">
        <v>230</v>
      </c>
      <c r="B46" t="s">
        <v>174</v>
      </c>
      <c r="C46" t="s">
        <v>442</v>
      </c>
      <c r="D46" t="s">
        <v>443</v>
      </c>
      <c r="E46" t="s">
        <v>444</v>
      </c>
      <c r="F46" t="s">
        <v>242</v>
      </c>
      <c r="G46" t="s">
        <v>445</v>
      </c>
      <c r="H46" t="s">
        <v>235</v>
      </c>
      <c r="I46" t="s">
        <v>446</v>
      </c>
      <c r="J46" t="s">
        <v>235</v>
      </c>
      <c r="K46" t="s">
        <v>235</v>
      </c>
      <c r="L46" t="s">
        <v>447</v>
      </c>
      <c r="M46" t="s">
        <v>448</v>
      </c>
      <c r="N46" t="s">
        <v>6</v>
      </c>
    </row>
    <row r="47" spans="1:14" ht="11.25" customHeight="1" x14ac:dyDescent="0.15">
      <c r="A47" t="s">
        <v>230</v>
      </c>
      <c r="B47" t="s">
        <v>174</v>
      </c>
      <c r="C47" t="s">
        <v>449</v>
      </c>
      <c r="D47" t="s">
        <v>450</v>
      </c>
      <c r="E47" t="s">
        <v>451</v>
      </c>
      <c r="F47" t="s">
        <v>242</v>
      </c>
      <c r="G47" t="s">
        <v>452</v>
      </c>
      <c r="H47" t="s">
        <v>235</v>
      </c>
      <c r="I47" t="s">
        <v>452</v>
      </c>
      <c r="J47" t="s">
        <v>235</v>
      </c>
      <c r="K47" t="s">
        <v>235</v>
      </c>
      <c r="L47" t="s">
        <v>279</v>
      </c>
      <c r="M47" t="s">
        <v>280</v>
      </c>
      <c r="N47" t="s">
        <v>6</v>
      </c>
    </row>
    <row r="48" spans="1:14" ht="11.25" customHeight="1" x14ac:dyDescent="0.15">
      <c r="A48" t="s">
        <v>230</v>
      </c>
      <c r="B48" t="s">
        <v>174</v>
      </c>
      <c r="C48" t="s">
        <v>453</v>
      </c>
      <c r="D48" t="s">
        <v>454</v>
      </c>
      <c r="E48" t="s">
        <v>455</v>
      </c>
      <c r="F48" t="s">
        <v>456</v>
      </c>
      <c r="G48" t="s">
        <v>235</v>
      </c>
      <c r="H48" t="s">
        <v>235</v>
      </c>
      <c r="I48" t="s">
        <v>457</v>
      </c>
      <c r="J48" t="s">
        <v>235</v>
      </c>
      <c r="K48" t="s">
        <v>235</v>
      </c>
      <c r="L48" t="s">
        <v>237</v>
      </c>
      <c r="M48" t="s">
        <v>238</v>
      </c>
      <c r="N48" t="s">
        <v>6</v>
      </c>
    </row>
    <row r="49" spans="1:14" ht="11.25" customHeight="1" x14ac:dyDescent="0.15">
      <c r="A49" t="s">
        <v>230</v>
      </c>
      <c r="B49" t="s">
        <v>174</v>
      </c>
      <c r="C49" t="s">
        <v>458</v>
      </c>
      <c r="D49" t="s">
        <v>459</v>
      </c>
      <c r="E49" t="s">
        <v>460</v>
      </c>
      <c r="F49" t="s">
        <v>242</v>
      </c>
      <c r="G49" t="s">
        <v>461</v>
      </c>
      <c r="H49" t="s">
        <v>235</v>
      </c>
      <c r="I49" t="s">
        <v>461</v>
      </c>
      <c r="J49" t="s">
        <v>235</v>
      </c>
      <c r="K49" t="s">
        <v>235</v>
      </c>
      <c r="L49" t="s">
        <v>279</v>
      </c>
      <c r="M49" t="s">
        <v>280</v>
      </c>
      <c r="N49" t="s">
        <v>6</v>
      </c>
    </row>
    <row r="50" spans="1:14" ht="11.25" customHeight="1" x14ac:dyDescent="0.15">
      <c r="A50" t="s">
        <v>230</v>
      </c>
      <c r="B50" t="s">
        <v>174</v>
      </c>
      <c r="C50" t="s">
        <v>462</v>
      </c>
      <c r="D50" t="s">
        <v>463</v>
      </c>
      <c r="E50" t="s">
        <v>464</v>
      </c>
      <c r="F50" t="s">
        <v>465</v>
      </c>
      <c r="G50" t="s">
        <v>235</v>
      </c>
      <c r="H50" t="s">
        <v>235</v>
      </c>
      <c r="I50" t="s">
        <v>466</v>
      </c>
      <c r="J50" t="s">
        <v>235</v>
      </c>
      <c r="K50" t="s">
        <v>235</v>
      </c>
      <c r="L50" t="s">
        <v>237</v>
      </c>
      <c r="M50" t="s">
        <v>238</v>
      </c>
      <c r="N50" t="s">
        <v>6</v>
      </c>
    </row>
    <row r="51" spans="1:14" ht="11.25" customHeight="1" x14ac:dyDescent="0.15">
      <c r="A51" t="s">
        <v>230</v>
      </c>
      <c r="B51" t="s">
        <v>174</v>
      </c>
      <c r="C51" t="s">
        <v>467</v>
      </c>
      <c r="D51" t="s">
        <v>468</v>
      </c>
      <c r="E51" t="s">
        <v>469</v>
      </c>
      <c r="F51" t="s">
        <v>470</v>
      </c>
      <c r="G51" t="s">
        <v>471</v>
      </c>
      <c r="H51" t="s">
        <v>235</v>
      </c>
      <c r="I51" t="s">
        <v>446</v>
      </c>
      <c r="J51" t="s">
        <v>235</v>
      </c>
      <c r="K51" t="s">
        <v>235</v>
      </c>
      <c r="L51" t="s">
        <v>447</v>
      </c>
      <c r="M51" t="s">
        <v>448</v>
      </c>
      <c r="N51" t="s">
        <v>6</v>
      </c>
    </row>
    <row r="52" spans="1:14" ht="11.25" customHeight="1" x14ac:dyDescent="0.15">
      <c r="A52" t="s">
        <v>230</v>
      </c>
      <c r="B52" t="s">
        <v>174</v>
      </c>
      <c r="C52" t="s">
        <v>472</v>
      </c>
      <c r="D52" t="s">
        <v>473</v>
      </c>
      <c r="E52" t="s">
        <v>474</v>
      </c>
      <c r="F52" t="s">
        <v>256</v>
      </c>
      <c r="G52" t="s">
        <v>475</v>
      </c>
      <c r="H52" t="s">
        <v>235</v>
      </c>
      <c r="I52" t="s">
        <v>475</v>
      </c>
      <c r="J52" t="s">
        <v>235</v>
      </c>
      <c r="K52" t="s">
        <v>235</v>
      </c>
      <c r="L52" t="s">
        <v>237</v>
      </c>
      <c r="M52" t="s">
        <v>238</v>
      </c>
      <c r="N52" t="s">
        <v>6</v>
      </c>
    </row>
    <row r="53" spans="1:14" ht="11.25" customHeight="1" x14ac:dyDescent="0.15">
      <c r="A53" t="s">
        <v>230</v>
      </c>
      <c r="B53" t="s">
        <v>174</v>
      </c>
      <c r="C53" t="s">
        <v>476</v>
      </c>
      <c r="D53" t="s">
        <v>477</v>
      </c>
      <c r="E53" t="s">
        <v>478</v>
      </c>
      <c r="F53" t="s">
        <v>234</v>
      </c>
      <c r="G53" t="s">
        <v>235</v>
      </c>
      <c r="H53" t="s">
        <v>235</v>
      </c>
      <c r="I53" t="s">
        <v>479</v>
      </c>
      <c r="J53" t="s">
        <v>235</v>
      </c>
      <c r="K53" t="s">
        <v>235</v>
      </c>
      <c r="L53" t="s">
        <v>237</v>
      </c>
      <c r="M53" t="s">
        <v>238</v>
      </c>
      <c r="N53" t="s">
        <v>6</v>
      </c>
    </row>
    <row r="54" spans="1:14" ht="11.25" customHeight="1" x14ac:dyDescent="0.15">
      <c r="A54" t="s">
        <v>230</v>
      </c>
      <c r="B54" t="s">
        <v>174</v>
      </c>
      <c r="C54" t="s">
        <v>480</v>
      </c>
      <c r="D54" t="s">
        <v>481</v>
      </c>
      <c r="E54" t="s">
        <v>482</v>
      </c>
      <c r="F54" t="s">
        <v>483</v>
      </c>
      <c r="G54" t="s">
        <v>235</v>
      </c>
      <c r="H54" t="s">
        <v>235</v>
      </c>
      <c r="I54" t="s">
        <v>252</v>
      </c>
      <c r="J54" t="s">
        <v>235</v>
      </c>
      <c r="K54" t="s">
        <v>235</v>
      </c>
      <c r="L54" t="s">
        <v>297</v>
      </c>
      <c r="M54" t="s">
        <v>298</v>
      </c>
      <c r="N54" t="s">
        <v>6</v>
      </c>
    </row>
    <row r="55" spans="1:14" ht="11.25" customHeight="1" x14ac:dyDescent="0.15">
      <c r="A55" t="s">
        <v>230</v>
      </c>
      <c r="B55" t="s">
        <v>174</v>
      </c>
      <c r="C55" t="s">
        <v>484</v>
      </c>
      <c r="D55" t="s">
        <v>485</v>
      </c>
      <c r="E55" t="s">
        <v>486</v>
      </c>
      <c r="F55" t="s">
        <v>487</v>
      </c>
      <c r="G55" t="s">
        <v>235</v>
      </c>
      <c r="H55" t="s">
        <v>235</v>
      </c>
      <c r="I55" t="s">
        <v>488</v>
      </c>
      <c r="J55" t="s">
        <v>235</v>
      </c>
      <c r="K55" t="s">
        <v>235</v>
      </c>
      <c r="L55" t="s">
        <v>237</v>
      </c>
      <c r="M55" t="s">
        <v>238</v>
      </c>
      <c r="N55" t="s">
        <v>6</v>
      </c>
    </row>
    <row r="56" spans="1:14" ht="11.25" customHeight="1" x14ac:dyDescent="0.15">
      <c r="A56" t="s">
        <v>230</v>
      </c>
      <c r="B56" t="s">
        <v>174</v>
      </c>
      <c r="C56" t="s">
        <v>489</v>
      </c>
      <c r="D56" t="s">
        <v>490</v>
      </c>
      <c r="E56" t="s">
        <v>491</v>
      </c>
      <c r="F56" t="s">
        <v>250</v>
      </c>
      <c r="G56" t="s">
        <v>235</v>
      </c>
      <c r="H56" t="s">
        <v>235</v>
      </c>
      <c r="I56" t="s">
        <v>446</v>
      </c>
      <c r="J56" t="s">
        <v>235</v>
      </c>
      <c r="K56" t="s">
        <v>235</v>
      </c>
      <c r="L56" t="s">
        <v>447</v>
      </c>
      <c r="M56" t="s">
        <v>448</v>
      </c>
      <c r="N56" t="s">
        <v>6</v>
      </c>
    </row>
    <row r="57" spans="1:14" ht="11.25" customHeight="1" x14ac:dyDescent="0.15">
      <c r="A57" t="s">
        <v>230</v>
      </c>
      <c r="B57" t="s">
        <v>174</v>
      </c>
      <c r="C57" t="s">
        <v>492</v>
      </c>
      <c r="D57" t="s">
        <v>493</v>
      </c>
      <c r="E57" t="s">
        <v>494</v>
      </c>
      <c r="F57" t="s">
        <v>495</v>
      </c>
      <c r="G57" t="s">
        <v>496</v>
      </c>
      <c r="H57" t="s">
        <v>235</v>
      </c>
      <c r="I57" t="s">
        <v>497</v>
      </c>
      <c r="J57" t="s">
        <v>235</v>
      </c>
      <c r="K57" t="s">
        <v>235</v>
      </c>
      <c r="L57" t="s">
        <v>286</v>
      </c>
      <c r="M57" t="s">
        <v>287</v>
      </c>
      <c r="N57" t="s">
        <v>6</v>
      </c>
    </row>
    <row r="58" spans="1:14" ht="11.25" customHeight="1" x14ac:dyDescent="0.15">
      <c r="A58" t="s">
        <v>230</v>
      </c>
      <c r="B58" t="s">
        <v>174</v>
      </c>
      <c r="C58" t="s">
        <v>498</v>
      </c>
      <c r="D58" t="s">
        <v>499</v>
      </c>
      <c r="E58" t="s">
        <v>500</v>
      </c>
      <c r="F58" t="s">
        <v>269</v>
      </c>
      <c r="G58" t="s">
        <v>501</v>
      </c>
      <c r="H58" t="s">
        <v>235</v>
      </c>
      <c r="I58" t="s">
        <v>502</v>
      </c>
      <c r="J58" t="s">
        <v>235</v>
      </c>
      <c r="K58" t="s">
        <v>235</v>
      </c>
      <c r="L58" t="s">
        <v>279</v>
      </c>
      <c r="M58" t="s">
        <v>280</v>
      </c>
      <c r="N58" t="s">
        <v>6</v>
      </c>
    </row>
    <row r="59" spans="1:14" ht="11.25" customHeight="1" x14ac:dyDescent="0.15">
      <c r="A59" t="s">
        <v>230</v>
      </c>
      <c r="B59" t="s">
        <v>174</v>
      </c>
      <c r="C59" t="s">
        <v>503</v>
      </c>
      <c r="D59" t="s">
        <v>504</v>
      </c>
      <c r="E59" t="s">
        <v>505</v>
      </c>
      <c r="F59" t="s">
        <v>242</v>
      </c>
      <c r="G59" t="s">
        <v>506</v>
      </c>
      <c r="H59" t="s">
        <v>235</v>
      </c>
      <c r="I59" t="s">
        <v>507</v>
      </c>
      <c r="J59" t="s">
        <v>235</v>
      </c>
      <c r="K59" t="s">
        <v>235</v>
      </c>
      <c r="L59" t="s">
        <v>279</v>
      </c>
      <c r="M59" t="s">
        <v>280</v>
      </c>
      <c r="N59" t="s">
        <v>6</v>
      </c>
    </row>
    <row r="60" spans="1:14" ht="11.25" customHeight="1" x14ac:dyDescent="0.15">
      <c r="A60" t="s">
        <v>230</v>
      </c>
      <c r="B60" t="s">
        <v>174</v>
      </c>
      <c r="C60" t="s">
        <v>508</v>
      </c>
      <c r="D60" t="s">
        <v>509</v>
      </c>
      <c r="E60" t="s">
        <v>510</v>
      </c>
      <c r="F60" t="s">
        <v>242</v>
      </c>
      <c r="G60" t="s">
        <v>511</v>
      </c>
      <c r="H60" t="s">
        <v>235</v>
      </c>
      <c r="I60" t="s">
        <v>511</v>
      </c>
      <c r="J60" t="s">
        <v>235</v>
      </c>
      <c r="K60" t="s">
        <v>235</v>
      </c>
      <c r="L60" t="s">
        <v>279</v>
      </c>
      <c r="M60" t="s">
        <v>280</v>
      </c>
      <c r="N60" t="s">
        <v>6</v>
      </c>
    </row>
    <row r="61" spans="1:14" ht="11.25" customHeight="1" x14ac:dyDescent="0.15">
      <c r="A61" t="s">
        <v>230</v>
      </c>
      <c r="B61" t="s">
        <v>174</v>
      </c>
      <c r="C61" t="s">
        <v>512</v>
      </c>
      <c r="D61" t="s">
        <v>513</v>
      </c>
      <c r="E61" t="s">
        <v>514</v>
      </c>
      <c r="F61" t="s">
        <v>242</v>
      </c>
      <c r="G61" t="s">
        <v>515</v>
      </c>
      <c r="H61" t="s">
        <v>235</v>
      </c>
      <c r="I61" t="s">
        <v>446</v>
      </c>
      <c r="J61" t="s">
        <v>235</v>
      </c>
      <c r="K61" t="s">
        <v>235</v>
      </c>
      <c r="L61" t="s">
        <v>279</v>
      </c>
      <c r="M61" t="s">
        <v>280</v>
      </c>
      <c r="N61" t="s">
        <v>6</v>
      </c>
    </row>
    <row r="62" spans="1:14" ht="11.25" customHeight="1" x14ac:dyDescent="0.15">
      <c r="A62" t="s">
        <v>230</v>
      </c>
      <c r="B62" t="s">
        <v>174</v>
      </c>
      <c r="C62" t="s">
        <v>516</v>
      </c>
      <c r="D62" t="s">
        <v>517</v>
      </c>
      <c r="E62" t="s">
        <v>518</v>
      </c>
      <c r="F62" t="s">
        <v>242</v>
      </c>
      <c r="G62" t="s">
        <v>519</v>
      </c>
      <c r="H62" t="s">
        <v>235</v>
      </c>
      <c r="I62" t="s">
        <v>519</v>
      </c>
      <c r="J62" t="s">
        <v>235</v>
      </c>
      <c r="K62" t="s">
        <v>235</v>
      </c>
      <c r="L62" t="s">
        <v>245</v>
      </c>
      <c r="M62" t="s">
        <v>246</v>
      </c>
      <c r="N62" t="s">
        <v>6</v>
      </c>
    </row>
    <row r="63" spans="1:14" ht="11.25" customHeight="1" x14ac:dyDescent="0.15">
      <c r="A63" t="s">
        <v>230</v>
      </c>
      <c r="B63" t="s">
        <v>174</v>
      </c>
      <c r="C63" t="s">
        <v>520</v>
      </c>
      <c r="D63" t="s">
        <v>521</v>
      </c>
      <c r="E63" t="s">
        <v>522</v>
      </c>
      <c r="F63" t="s">
        <v>523</v>
      </c>
      <c r="G63" t="s">
        <v>524</v>
      </c>
      <c r="H63" t="s">
        <v>235</v>
      </c>
      <c r="I63" t="s">
        <v>524</v>
      </c>
      <c r="J63" t="s">
        <v>235</v>
      </c>
      <c r="K63" t="s">
        <v>235</v>
      </c>
      <c r="L63" t="s">
        <v>237</v>
      </c>
      <c r="M63" t="s">
        <v>238</v>
      </c>
      <c r="N63" t="s">
        <v>6</v>
      </c>
    </row>
    <row r="64" spans="1:14" ht="11.25" customHeight="1" x14ac:dyDescent="0.15">
      <c r="A64" t="s">
        <v>230</v>
      </c>
      <c r="B64" t="s">
        <v>174</v>
      </c>
      <c r="C64" t="s">
        <v>525</v>
      </c>
      <c r="D64" t="s">
        <v>526</v>
      </c>
      <c r="E64" t="s">
        <v>527</v>
      </c>
      <c r="F64" t="s">
        <v>242</v>
      </c>
      <c r="G64" t="s">
        <v>528</v>
      </c>
      <c r="H64" t="s">
        <v>235</v>
      </c>
      <c r="I64" t="s">
        <v>528</v>
      </c>
      <c r="J64" t="s">
        <v>235</v>
      </c>
      <c r="K64" t="s">
        <v>235</v>
      </c>
      <c r="L64" t="s">
        <v>279</v>
      </c>
      <c r="M64" t="s">
        <v>280</v>
      </c>
      <c r="N64" t="s">
        <v>6</v>
      </c>
    </row>
    <row r="65" spans="1:14" ht="11.25" customHeight="1" x14ac:dyDescent="0.15">
      <c r="A65" t="s">
        <v>230</v>
      </c>
      <c r="B65" t="s">
        <v>174</v>
      </c>
      <c r="C65" t="s">
        <v>529</v>
      </c>
      <c r="D65" t="s">
        <v>526</v>
      </c>
      <c r="E65" t="s">
        <v>530</v>
      </c>
      <c r="F65" t="s">
        <v>269</v>
      </c>
      <c r="G65" t="s">
        <v>531</v>
      </c>
      <c r="H65" t="s">
        <v>235</v>
      </c>
      <c r="I65" t="s">
        <v>531</v>
      </c>
      <c r="J65" t="s">
        <v>235</v>
      </c>
      <c r="K65" t="s">
        <v>235</v>
      </c>
      <c r="L65" t="s">
        <v>279</v>
      </c>
      <c r="M65" t="s">
        <v>280</v>
      </c>
      <c r="N65" t="s">
        <v>6</v>
      </c>
    </row>
    <row r="66" spans="1:14" ht="11.25" customHeight="1" x14ac:dyDescent="0.15">
      <c r="A66" t="s">
        <v>230</v>
      </c>
      <c r="B66" t="s">
        <v>174</v>
      </c>
      <c r="C66" t="s">
        <v>532</v>
      </c>
      <c r="D66" t="s">
        <v>533</v>
      </c>
      <c r="E66" t="s">
        <v>534</v>
      </c>
      <c r="F66" t="s">
        <v>242</v>
      </c>
      <c r="G66" t="s">
        <v>535</v>
      </c>
      <c r="H66" t="s">
        <v>235</v>
      </c>
      <c r="I66" t="s">
        <v>536</v>
      </c>
      <c r="J66" t="s">
        <v>235</v>
      </c>
      <c r="K66" t="s">
        <v>235</v>
      </c>
      <c r="L66" t="s">
        <v>316</v>
      </c>
      <c r="M66" t="s">
        <v>317</v>
      </c>
      <c r="N66" t="s">
        <v>6</v>
      </c>
    </row>
    <row r="67" spans="1:14" ht="11.25" customHeight="1" x14ac:dyDescent="0.15">
      <c r="A67" t="s">
        <v>230</v>
      </c>
      <c r="B67" t="s">
        <v>174</v>
      </c>
      <c r="C67" t="s">
        <v>537</v>
      </c>
      <c r="D67" t="s">
        <v>538</v>
      </c>
      <c r="E67" t="s">
        <v>539</v>
      </c>
      <c r="F67" t="s">
        <v>306</v>
      </c>
      <c r="G67" t="s">
        <v>540</v>
      </c>
      <c r="H67" t="s">
        <v>235</v>
      </c>
      <c r="I67" t="s">
        <v>540</v>
      </c>
      <c r="J67" t="s">
        <v>235</v>
      </c>
      <c r="K67" t="s">
        <v>235</v>
      </c>
      <c r="L67" t="s">
        <v>279</v>
      </c>
      <c r="M67" t="s">
        <v>280</v>
      </c>
      <c r="N67" t="s">
        <v>6</v>
      </c>
    </row>
    <row r="68" spans="1:14" ht="11.25" customHeight="1" x14ac:dyDescent="0.15">
      <c r="A68" t="s">
        <v>230</v>
      </c>
      <c r="B68" t="s">
        <v>174</v>
      </c>
      <c r="C68" t="s">
        <v>541</v>
      </c>
      <c r="D68" t="s">
        <v>542</v>
      </c>
      <c r="E68" t="s">
        <v>543</v>
      </c>
      <c r="F68" t="s">
        <v>544</v>
      </c>
      <c r="G68" t="s">
        <v>235</v>
      </c>
      <c r="H68" t="s">
        <v>235</v>
      </c>
      <c r="I68" t="s">
        <v>545</v>
      </c>
      <c r="J68" t="s">
        <v>235</v>
      </c>
      <c r="K68" t="s">
        <v>235</v>
      </c>
      <c r="L68" t="s">
        <v>316</v>
      </c>
      <c r="M68" t="s">
        <v>317</v>
      </c>
      <c r="N68" t="s">
        <v>6</v>
      </c>
    </row>
    <row r="69" spans="1:14" ht="11.25" customHeight="1" x14ac:dyDescent="0.15">
      <c r="A69" t="s">
        <v>230</v>
      </c>
      <c r="B69" t="s">
        <v>174</v>
      </c>
      <c r="C69" t="s">
        <v>546</v>
      </c>
      <c r="D69" t="s">
        <v>547</v>
      </c>
      <c r="E69" t="s">
        <v>548</v>
      </c>
      <c r="F69" t="s">
        <v>387</v>
      </c>
      <c r="G69" t="s">
        <v>549</v>
      </c>
      <c r="H69" t="s">
        <v>235</v>
      </c>
      <c r="I69" t="s">
        <v>308</v>
      </c>
      <c r="J69" t="s">
        <v>235</v>
      </c>
      <c r="K69" t="s">
        <v>235</v>
      </c>
      <c r="L69" t="s">
        <v>316</v>
      </c>
      <c r="M69" t="s">
        <v>317</v>
      </c>
      <c r="N69" t="s">
        <v>6</v>
      </c>
    </row>
    <row r="70" spans="1:14" ht="11.25" customHeight="1" x14ac:dyDescent="0.15">
      <c r="A70" t="s">
        <v>230</v>
      </c>
      <c r="B70" t="s">
        <v>174</v>
      </c>
      <c r="C70" t="s">
        <v>550</v>
      </c>
      <c r="D70" t="s">
        <v>551</v>
      </c>
      <c r="E70" t="s">
        <v>552</v>
      </c>
      <c r="F70" t="s">
        <v>553</v>
      </c>
      <c r="G70" t="s">
        <v>554</v>
      </c>
      <c r="H70" t="s">
        <v>235</v>
      </c>
      <c r="I70" t="s">
        <v>555</v>
      </c>
      <c r="J70" t="s">
        <v>235</v>
      </c>
      <c r="K70" t="s">
        <v>235</v>
      </c>
      <c r="L70" t="s">
        <v>316</v>
      </c>
      <c r="M70" t="s">
        <v>317</v>
      </c>
      <c r="N70" t="s">
        <v>6</v>
      </c>
    </row>
    <row r="71" spans="1:14" ht="11.25" customHeight="1" x14ac:dyDescent="0.15">
      <c r="A71" t="s">
        <v>230</v>
      </c>
      <c r="B71" t="s">
        <v>174</v>
      </c>
      <c r="C71" t="s">
        <v>556</v>
      </c>
      <c r="D71" t="s">
        <v>557</v>
      </c>
      <c r="E71" t="s">
        <v>558</v>
      </c>
      <c r="F71" t="s">
        <v>242</v>
      </c>
      <c r="G71" t="s">
        <v>559</v>
      </c>
      <c r="H71" t="s">
        <v>235</v>
      </c>
      <c r="I71" t="s">
        <v>560</v>
      </c>
      <c r="J71" t="s">
        <v>235</v>
      </c>
      <c r="K71" t="s">
        <v>235</v>
      </c>
      <c r="L71" t="s">
        <v>279</v>
      </c>
      <c r="M71" t="s">
        <v>280</v>
      </c>
      <c r="N71" t="s">
        <v>6</v>
      </c>
    </row>
    <row r="72" spans="1:14" ht="11.25" customHeight="1" x14ac:dyDescent="0.15">
      <c r="A72" t="s">
        <v>230</v>
      </c>
      <c r="B72" t="s">
        <v>174</v>
      </c>
      <c r="C72" t="s">
        <v>561</v>
      </c>
      <c r="D72" t="s">
        <v>562</v>
      </c>
      <c r="E72" t="s">
        <v>563</v>
      </c>
      <c r="F72" t="s">
        <v>564</v>
      </c>
      <c r="G72" t="s">
        <v>235</v>
      </c>
      <c r="H72" t="s">
        <v>235</v>
      </c>
      <c r="I72" t="s">
        <v>565</v>
      </c>
      <c r="J72" t="s">
        <v>235</v>
      </c>
      <c r="K72" t="s">
        <v>235</v>
      </c>
      <c r="L72" t="s">
        <v>237</v>
      </c>
      <c r="M72" t="s">
        <v>238</v>
      </c>
      <c r="N72" t="s">
        <v>6</v>
      </c>
    </row>
    <row r="73" spans="1:14" ht="11.25" customHeight="1" x14ac:dyDescent="0.15">
      <c r="A73" t="s">
        <v>230</v>
      </c>
      <c r="B73" t="s">
        <v>174</v>
      </c>
      <c r="C73" t="s">
        <v>566</v>
      </c>
      <c r="D73" t="s">
        <v>567</v>
      </c>
      <c r="E73" t="s">
        <v>568</v>
      </c>
      <c r="F73" t="s">
        <v>569</v>
      </c>
      <c r="G73" t="s">
        <v>570</v>
      </c>
      <c r="H73" t="s">
        <v>235</v>
      </c>
      <c r="I73" t="s">
        <v>271</v>
      </c>
      <c r="J73" t="s">
        <v>235</v>
      </c>
      <c r="K73" t="s">
        <v>235</v>
      </c>
      <c r="L73" t="s">
        <v>237</v>
      </c>
      <c r="M73" t="s">
        <v>238</v>
      </c>
      <c r="N73" t="s">
        <v>6</v>
      </c>
    </row>
    <row r="74" spans="1:14" ht="11.25" customHeight="1" x14ac:dyDescent="0.15">
      <c r="A74" t="s">
        <v>230</v>
      </c>
      <c r="B74" t="s">
        <v>174</v>
      </c>
      <c r="C74" t="s">
        <v>571</v>
      </c>
      <c r="D74" t="s">
        <v>572</v>
      </c>
      <c r="E74" t="s">
        <v>573</v>
      </c>
      <c r="F74" t="s">
        <v>574</v>
      </c>
      <c r="G74" t="s">
        <v>235</v>
      </c>
      <c r="H74" t="s">
        <v>235</v>
      </c>
      <c r="I74" t="s">
        <v>575</v>
      </c>
      <c r="J74" t="s">
        <v>235</v>
      </c>
      <c r="K74" t="s">
        <v>235</v>
      </c>
      <c r="L74" t="s">
        <v>279</v>
      </c>
      <c r="M74" t="s">
        <v>280</v>
      </c>
      <c r="N74" t="s">
        <v>6</v>
      </c>
    </row>
    <row r="75" spans="1:14" ht="11.25" customHeight="1" x14ac:dyDescent="0.15">
      <c r="A75" t="s">
        <v>230</v>
      </c>
      <c r="B75" t="s">
        <v>174</v>
      </c>
      <c r="C75" t="s">
        <v>576</v>
      </c>
      <c r="D75" t="s">
        <v>577</v>
      </c>
      <c r="E75" t="s">
        <v>578</v>
      </c>
      <c r="F75" t="s">
        <v>579</v>
      </c>
      <c r="G75" t="s">
        <v>580</v>
      </c>
      <c r="H75" t="s">
        <v>235</v>
      </c>
      <c r="I75" t="s">
        <v>580</v>
      </c>
      <c r="J75" t="s">
        <v>235</v>
      </c>
      <c r="K75" t="s">
        <v>235</v>
      </c>
      <c r="L75" t="s">
        <v>279</v>
      </c>
      <c r="M75" t="s">
        <v>280</v>
      </c>
      <c r="N75" t="s">
        <v>6</v>
      </c>
    </row>
    <row r="76" spans="1:14" ht="11.25" customHeight="1" x14ac:dyDescent="0.15">
      <c r="A76" t="s">
        <v>230</v>
      </c>
      <c r="B76" t="s">
        <v>174</v>
      </c>
      <c r="C76" t="s">
        <v>576</v>
      </c>
      <c r="D76" t="s">
        <v>577</v>
      </c>
      <c r="E76" t="s">
        <v>578</v>
      </c>
      <c r="F76" t="s">
        <v>579</v>
      </c>
      <c r="G76" t="s">
        <v>580</v>
      </c>
      <c r="H76" t="s">
        <v>235</v>
      </c>
      <c r="I76" t="s">
        <v>581</v>
      </c>
      <c r="J76" t="s">
        <v>235</v>
      </c>
      <c r="K76" t="s">
        <v>235</v>
      </c>
      <c r="L76" t="s">
        <v>279</v>
      </c>
      <c r="M76" t="s">
        <v>280</v>
      </c>
      <c r="N76" t="s">
        <v>6</v>
      </c>
    </row>
    <row r="77" spans="1:14" ht="11.25" customHeight="1" x14ac:dyDescent="0.15">
      <c r="A77" t="s">
        <v>230</v>
      </c>
      <c r="B77" t="s">
        <v>174</v>
      </c>
      <c r="C77" t="s">
        <v>582</v>
      </c>
      <c r="D77" t="s">
        <v>583</v>
      </c>
      <c r="E77" t="s">
        <v>584</v>
      </c>
      <c r="F77" t="s">
        <v>585</v>
      </c>
      <c r="G77" t="s">
        <v>235</v>
      </c>
      <c r="H77" t="s">
        <v>235</v>
      </c>
      <c r="I77" t="s">
        <v>586</v>
      </c>
      <c r="J77" t="s">
        <v>235</v>
      </c>
      <c r="K77" t="s">
        <v>235</v>
      </c>
      <c r="L77" t="s">
        <v>237</v>
      </c>
      <c r="M77" t="s">
        <v>238</v>
      </c>
      <c r="N77" t="s">
        <v>6</v>
      </c>
    </row>
    <row r="78" spans="1:14" ht="11.25" customHeight="1" x14ac:dyDescent="0.15">
      <c r="A78" t="s">
        <v>230</v>
      </c>
      <c r="B78" t="s">
        <v>174</v>
      </c>
      <c r="C78" t="s">
        <v>587</v>
      </c>
      <c r="D78" t="s">
        <v>588</v>
      </c>
      <c r="E78" t="s">
        <v>589</v>
      </c>
      <c r="F78" t="s">
        <v>242</v>
      </c>
      <c r="G78" t="s">
        <v>235</v>
      </c>
      <c r="H78" t="s">
        <v>235</v>
      </c>
      <c r="I78" t="s">
        <v>244</v>
      </c>
      <c r="J78" t="s">
        <v>235</v>
      </c>
      <c r="K78" t="s">
        <v>235</v>
      </c>
      <c r="L78" t="s">
        <v>279</v>
      </c>
      <c r="M78" t="s">
        <v>280</v>
      </c>
      <c r="N78" t="s">
        <v>6</v>
      </c>
    </row>
    <row r="79" spans="1:14" ht="11.25" customHeight="1" x14ac:dyDescent="0.15">
      <c r="A79" t="s">
        <v>230</v>
      </c>
      <c r="B79" t="s">
        <v>174</v>
      </c>
      <c r="C79" t="s">
        <v>590</v>
      </c>
      <c r="D79" t="s">
        <v>591</v>
      </c>
      <c r="E79" t="s">
        <v>592</v>
      </c>
      <c r="F79" t="s">
        <v>593</v>
      </c>
      <c r="G79" t="s">
        <v>594</v>
      </c>
      <c r="H79" t="s">
        <v>235</v>
      </c>
      <c r="I79" t="s">
        <v>595</v>
      </c>
      <c r="J79" t="s">
        <v>235</v>
      </c>
      <c r="K79" t="s">
        <v>235</v>
      </c>
      <c r="L79" t="s">
        <v>279</v>
      </c>
      <c r="M79" t="s">
        <v>280</v>
      </c>
      <c r="N79" t="s">
        <v>6</v>
      </c>
    </row>
    <row r="80" spans="1:14" ht="11.25" customHeight="1" x14ac:dyDescent="0.15">
      <c r="A80" t="s">
        <v>230</v>
      </c>
      <c r="B80" t="s">
        <v>174</v>
      </c>
      <c r="C80" t="s">
        <v>596</v>
      </c>
      <c r="D80" t="s">
        <v>597</v>
      </c>
      <c r="E80" t="s">
        <v>592</v>
      </c>
      <c r="F80" t="s">
        <v>598</v>
      </c>
      <c r="G80" t="s">
        <v>235</v>
      </c>
      <c r="H80" t="s">
        <v>235</v>
      </c>
      <c r="I80" t="s">
        <v>599</v>
      </c>
      <c r="J80" t="s">
        <v>235</v>
      </c>
      <c r="K80" t="s">
        <v>235</v>
      </c>
      <c r="L80" t="s">
        <v>279</v>
      </c>
      <c r="M80" t="s">
        <v>280</v>
      </c>
      <c r="N80" t="s">
        <v>6</v>
      </c>
    </row>
  </sheetData>
  <sheetProtection formatColumns="0" formatRows="0"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showGridLines="0" topLeftCell="AA20" workbookViewId="0">
      <selection activeCell="AC59" sqref="AC59:AC62"/>
    </sheetView>
  </sheetViews>
  <sheetFormatPr defaultColWidth="9.140625" defaultRowHeight="11.25" customHeight="1" x14ac:dyDescent="0.15"/>
  <cols>
    <col min="1" max="1" width="6.85546875" style="166" hidden="1" customWidth="1"/>
    <col min="2" max="2" width="5.42578125" style="166" hidden="1" customWidth="1"/>
    <col min="3" max="3" width="9.140625" style="166" hidden="1"/>
    <col min="4" max="4" width="2.42578125" style="166" hidden="1" customWidth="1"/>
    <col min="5" max="26" width="8.7109375" style="166" hidden="1" customWidth="1"/>
    <col min="27" max="27" width="3.7109375" style="166" customWidth="1"/>
    <col min="28" max="28" width="42.85546875" style="166" customWidth="1"/>
    <col min="29" max="29" width="48.42578125" style="166" customWidth="1"/>
    <col min="30" max="30" width="38.28515625" style="166" hidden="1" customWidth="1"/>
  </cols>
  <sheetData>
    <row r="1" spans="1:30" ht="22.5" hidden="1" customHeight="1" x14ac:dyDescent="0.15">
      <c r="A1" s="182"/>
      <c r="B1" s="182"/>
      <c r="C1" s="182"/>
      <c r="D1" s="183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</row>
    <row r="2" spans="1:30" ht="12.75" hidden="1" customHeight="1" x14ac:dyDescent="0.15">
      <c r="A2" s="182"/>
      <c r="B2" s="182"/>
      <c r="C2" s="182"/>
      <c r="D2" s="183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</row>
    <row r="3" spans="1:30" ht="11.25" hidden="1" customHeight="1" x14ac:dyDescent="0.15">
      <c r="A3" s="182"/>
      <c r="B3" s="182"/>
      <c r="C3" s="182"/>
      <c r="D3" s="183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</row>
    <row r="4" spans="1:30" ht="12.75" hidden="1" customHeight="1" x14ac:dyDescent="0.15">
      <c r="A4" s="183"/>
      <c r="B4" s="183"/>
      <c r="C4" s="183"/>
      <c r="D4" s="183"/>
      <c r="E4" s="185">
        <v>61</v>
      </c>
      <c r="F4" s="185">
        <v>61</v>
      </c>
      <c r="G4" s="185">
        <v>61</v>
      </c>
      <c r="H4" s="185">
        <v>61</v>
      </c>
      <c r="I4" s="185">
        <v>61</v>
      </c>
      <c r="J4" s="185">
        <v>61</v>
      </c>
      <c r="K4" s="185">
        <v>61</v>
      </c>
      <c r="L4" s="185">
        <v>61</v>
      </c>
      <c r="M4" s="185">
        <v>61</v>
      </c>
      <c r="N4" s="185">
        <v>61</v>
      </c>
      <c r="O4" s="185">
        <v>61</v>
      </c>
      <c r="P4" s="185">
        <v>61</v>
      </c>
      <c r="Q4" s="185">
        <v>61</v>
      </c>
      <c r="R4" s="185">
        <v>61</v>
      </c>
      <c r="S4" s="185">
        <v>61</v>
      </c>
      <c r="T4" s="185">
        <v>61</v>
      </c>
      <c r="U4" s="185">
        <v>61</v>
      </c>
      <c r="V4" s="185">
        <v>61</v>
      </c>
      <c r="W4" s="185">
        <v>61</v>
      </c>
      <c r="X4" s="185">
        <v>61</v>
      </c>
      <c r="Y4" s="185">
        <v>61</v>
      </c>
      <c r="Z4" s="185">
        <v>61</v>
      </c>
      <c r="AA4" s="185">
        <v>26</v>
      </c>
      <c r="AB4" s="185">
        <v>300</v>
      </c>
      <c r="AC4" s="185">
        <v>339</v>
      </c>
      <c r="AD4" s="183">
        <v>0</v>
      </c>
    </row>
    <row r="5" spans="1:30" ht="26.25" hidden="1" customHeight="1" x14ac:dyDescent="0.15">
      <c r="A5" s="182"/>
      <c r="B5" s="182"/>
      <c r="C5" s="182"/>
      <c r="D5" s="185">
        <v>35</v>
      </c>
      <c r="E5" s="213" t="s">
        <v>600</v>
      </c>
      <c r="F5" s="154" t="s">
        <v>601</v>
      </c>
      <c r="G5" s="154" t="s">
        <v>602</v>
      </c>
      <c r="H5" s="154" t="s">
        <v>603</v>
      </c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</row>
    <row r="6" spans="1:30" ht="26.25" hidden="1" customHeight="1" x14ac:dyDescent="0.15">
      <c r="A6" s="182"/>
      <c r="B6" s="182"/>
      <c r="C6" s="182"/>
      <c r="D6" s="185">
        <v>35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</row>
    <row r="7" spans="1:30" ht="26.25" hidden="1" customHeight="1" x14ac:dyDescent="0.15">
      <c r="A7" s="182"/>
      <c r="B7" s="182"/>
      <c r="C7" s="182"/>
      <c r="D7" s="185">
        <v>35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</row>
    <row r="8" spans="1:30" ht="26.25" hidden="1" customHeight="1" x14ac:dyDescent="0.15">
      <c r="A8" s="182"/>
      <c r="B8" s="182"/>
      <c r="C8" s="182"/>
      <c r="D8" s="185">
        <v>35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</row>
    <row r="9" spans="1:30" ht="26.25" hidden="1" customHeight="1" x14ac:dyDescent="0.15">
      <c r="A9" s="182"/>
      <c r="B9" s="182"/>
      <c r="C9" s="182"/>
      <c r="D9" s="185">
        <v>35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</row>
    <row r="10" spans="1:30" ht="26.25" hidden="1" customHeight="1" x14ac:dyDescent="0.15">
      <c r="A10" s="182"/>
      <c r="B10" s="182"/>
      <c r="C10" s="182"/>
      <c r="D10" s="185">
        <v>35</v>
      </c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</row>
    <row r="11" spans="1:30" ht="26.25" hidden="1" customHeight="1" x14ac:dyDescent="0.15">
      <c r="A11" s="182"/>
      <c r="B11" s="182"/>
      <c r="C11" s="182"/>
      <c r="D11" s="185">
        <v>35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</row>
    <row r="12" spans="1:30" ht="26.25" hidden="1" customHeight="1" x14ac:dyDescent="0.15">
      <c r="A12" s="182"/>
      <c r="B12" s="182"/>
      <c r="C12" s="182"/>
      <c r="D12" s="185">
        <v>35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</row>
    <row r="13" spans="1:30" ht="26.25" hidden="1" customHeight="1" x14ac:dyDescent="0.15">
      <c r="A13" s="182"/>
      <c r="B13" s="182"/>
      <c r="C13" s="182"/>
      <c r="D13" s="185">
        <v>35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</row>
    <row r="14" spans="1:30" ht="26.25" hidden="1" customHeight="1" x14ac:dyDescent="0.15">
      <c r="A14" s="182"/>
      <c r="B14" s="182"/>
      <c r="C14" s="182"/>
      <c r="D14" s="185">
        <v>35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</row>
    <row r="15" spans="1:30" ht="26.25" hidden="1" customHeight="1" x14ac:dyDescent="0.15">
      <c r="A15" s="182"/>
      <c r="B15" s="182"/>
      <c r="C15" s="182"/>
      <c r="D15" s="185">
        <v>35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</row>
    <row r="16" spans="1:30" ht="26.25" hidden="1" customHeight="1" x14ac:dyDescent="0.15">
      <c r="A16" s="182"/>
      <c r="B16" s="182"/>
      <c r="C16" s="182"/>
      <c r="D16" s="185">
        <v>35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</row>
    <row r="17" spans="1:30" ht="26.25" hidden="1" customHeight="1" x14ac:dyDescent="0.15">
      <c r="A17" s="182"/>
      <c r="B17" s="182"/>
      <c r="C17" s="182"/>
      <c r="D17" s="185">
        <v>35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</row>
    <row r="18" spans="1:30" ht="26.25" hidden="1" customHeight="1" x14ac:dyDescent="0.15">
      <c r="A18" s="182"/>
      <c r="B18" s="182"/>
      <c r="C18" s="182"/>
      <c r="D18" s="185">
        <v>35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</row>
    <row r="19" spans="1:30" ht="26.25" hidden="1" customHeight="1" x14ac:dyDescent="0.15">
      <c r="A19" s="182"/>
      <c r="B19" s="182"/>
      <c r="C19" s="182"/>
      <c r="D19" s="185">
        <v>35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</row>
    <row r="20" spans="1:30" ht="15" customHeight="1" x14ac:dyDescent="0.15">
      <c r="A20" s="182"/>
      <c r="B20" s="182"/>
      <c r="C20" s="182"/>
      <c r="D20" s="185">
        <v>20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spans="1:30" ht="20.25" customHeight="1" x14ac:dyDescent="0.15">
      <c r="A21" s="182"/>
      <c r="B21" s="182"/>
      <c r="C21" s="182"/>
      <c r="D21" s="185">
        <v>27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B21" s="663" t="s">
        <v>604</v>
      </c>
      <c r="AC21" s="663"/>
    </row>
    <row r="22" spans="1:30" ht="3.75" customHeight="1" x14ac:dyDescent="0.15">
      <c r="A22" s="182"/>
      <c r="B22" s="182"/>
      <c r="C22" s="182"/>
      <c r="D22" s="185">
        <v>5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B22" s="214"/>
      <c r="AC22" s="664"/>
    </row>
    <row r="23" spans="1:30" ht="15" hidden="1" customHeight="1" x14ac:dyDescent="0.15">
      <c r="A23" s="182"/>
      <c r="B23" s="182"/>
      <c r="C23" s="182"/>
      <c r="D23" s="185">
        <v>0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B23" s="215"/>
      <c r="AC23" s="665"/>
    </row>
    <row r="24" spans="1:30" ht="21.75" customHeight="1" x14ac:dyDescent="0.15">
      <c r="A24" s="182"/>
      <c r="B24" s="182"/>
      <c r="C24" s="182"/>
      <c r="D24" s="185">
        <v>29</v>
      </c>
      <c r="E24" s="216" t="s">
        <v>605</v>
      </c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B24" s="217" t="s">
        <v>606</v>
      </c>
      <c r="AC24" s="218" t="s">
        <v>174</v>
      </c>
    </row>
    <row r="25" spans="1:30" ht="6" customHeight="1" x14ac:dyDescent="0.15">
      <c r="A25" s="182"/>
      <c r="B25" s="182"/>
      <c r="C25" s="182"/>
      <c r="D25" s="185">
        <v>8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</row>
    <row r="26" spans="1:30" ht="6" customHeight="1" x14ac:dyDescent="0.15">
      <c r="A26" s="182"/>
      <c r="B26" s="182"/>
      <c r="C26" s="182"/>
      <c r="D26" s="185">
        <v>8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B26" s="17"/>
      <c r="AC26" s="219"/>
    </row>
    <row r="27" spans="1:30" ht="21.75" customHeight="1" x14ac:dyDescent="0.15">
      <c r="A27" s="182"/>
      <c r="B27" s="182"/>
      <c r="C27" s="182"/>
      <c r="D27" s="185">
        <v>29</v>
      </c>
      <c r="E27" s="182"/>
      <c r="F27" s="154" t="s">
        <v>607</v>
      </c>
      <c r="G27" s="154" t="s">
        <v>608</v>
      </c>
      <c r="H27" s="154" t="s">
        <v>609</v>
      </c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B27" s="17" t="s">
        <v>610</v>
      </c>
      <c r="AC27" s="19" t="s">
        <v>611</v>
      </c>
    </row>
    <row r="28" spans="1:30" ht="6" customHeight="1" x14ac:dyDescent="0.15">
      <c r="A28" s="182"/>
      <c r="B28" s="182"/>
      <c r="C28" s="182"/>
      <c r="D28" s="185">
        <v>8</v>
      </c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B28" s="17"/>
      <c r="AC28" s="219"/>
    </row>
    <row r="29" spans="1:30" ht="21.75" customHeight="1" x14ac:dyDescent="0.15">
      <c r="A29" s="182"/>
      <c r="B29" s="182"/>
      <c r="C29" s="182"/>
      <c r="D29" s="185">
        <v>29</v>
      </c>
      <c r="E29" s="182"/>
      <c r="F29" s="154" t="s">
        <v>612</v>
      </c>
      <c r="G29" s="154" t="s">
        <v>613</v>
      </c>
      <c r="H29" s="154" t="s">
        <v>614</v>
      </c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B29" s="17" t="s">
        <v>613</v>
      </c>
      <c r="AC29" s="220">
        <v>2025</v>
      </c>
    </row>
    <row r="30" spans="1:30" ht="6" customHeight="1" x14ac:dyDescent="0.15">
      <c r="A30" s="182"/>
      <c r="B30" s="182"/>
      <c r="C30" s="182"/>
      <c r="D30" s="185">
        <v>8</v>
      </c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B30" s="17"/>
    </row>
    <row r="31" spans="1:30" ht="21.75" customHeight="1" x14ac:dyDescent="0.15">
      <c r="A31" s="182"/>
      <c r="B31" s="182"/>
      <c r="C31" s="182"/>
      <c r="D31" s="185">
        <v>29</v>
      </c>
      <c r="E31" s="182"/>
      <c r="F31" s="154" t="s">
        <v>615</v>
      </c>
      <c r="G31" s="154" t="s">
        <v>616</v>
      </c>
      <c r="H31" s="154" t="s">
        <v>609</v>
      </c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B31" s="17" t="s">
        <v>616</v>
      </c>
      <c r="AC31" s="19" t="s">
        <v>617</v>
      </c>
    </row>
    <row r="32" spans="1:30" ht="6" customHeight="1" x14ac:dyDescent="0.15">
      <c r="A32" s="182"/>
      <c r="B32" s="182"/>
      <c r="C32" s="182"/>
      <c r="D32" s="185">
        <v>8</v>
      </c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B32" s="17"/>
      <c r="AC32" s="221"/>
    </row>
    <row r="33" spans="1:29" ht="21.75" customHeight="1" x14ac:dyDescent="0.15">
      <c r="A33" s="182"/>
      <c r="B33" s="182"/>
      <c r="C33" s="182"/>
      <c r="D33" s="185">
        <v>29</v>
      </c>
      <c r="E33" s="182"/>
      <c r="F33" s="154" t="s">
        <v>618</v>
      </c>
      <c r="G33" s="154" t="s">
        <v>619</v>
      </c>
      <c r="H33" s="154" t="s">
        <v>609</v>
      </c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B33" s="17" t="s">
        <v>620</v>
      </c>
      <c r="AC33" s="222" t="s">
        <v>11</v>
      </c>
    </row>
    <row r="34" spans="1:29" ht="2.25" customHeight="1" x14ac:dyDescent="0.15">
      <c r="A34" s="182"/>
      <c r="B34" s="182"/>
      <c r="C34" s="182"/>
      <c r="D34" s="185">
        <v>3</v>
      </c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B34" s="17"/>
    </row>
    <row r="35" spans="1:29" ht="21.75" customHeight="1" x14ac:dyDescent="0.15">
      <c r="A35" s="182"/>
      <c r="B35" s="182"/>
      <c r="C35" s="182"/>
      <c r="D35" s="185">
        <v>29</v>
      </c>
      <c r="E35" s="182"/>
      <c r="F35" s="154" t="s">
        <v>621</v>
      </c>
      <c r="G35" s="223" t="s">
        <v>622</v>
      </c>
      <c r="H35" s="224" t="s">
        <v>609</v>
      </c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B35" s="17" t="s">
        <v>622</v>
      </c>
      <c r="AC35" s="19" t="s">
        <v>538</v>
      </c>
    </row>
    <row r="36" spans="1:29" ht="21" hidden="1" customHeight="1" x14ac:dyDescent="0.15">
      <c r="A36" s="182"/>
      <c r="B36" s="184" t="b">
        <f>FIL_FLAG=TEHSHEET!$F$2</f>
        <v>0</v>
      </c>
      <c r="C36" s="182"/>
      <c r="D36" s="185">
        <v>59</v>
      </c>
      <c r="E36" s="216" t="s">
        <v>623</v>
      </c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B36" s="17" t="s">
        <v>624</v>
      </c>
      <c r="AC36" s="225"/>
    </row>
    <row r="37" spans="1:29" ht="0.75" customHeight="1" x14ac:dyDescent="0.15">
      <c r="A37" s="182"/>
      <c r="B37" s="182"/>
      <c r="C37" s="182"/>
      <c r="D37" s="185">
        <v>1</v>
      </c>
      <c r="E37" s="182"/>
      <c r="F37" s="154" t="s">
        <v>625</v>
      </c>
      <c r="G37" s="155" t="s">
        <v>626</v>
      </c>
      <c r="H37" s="666" t="s">
        <v>609</v>
      </c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B37" s="17" t="s">
        <v>627</v>
      </c>
      <c r="AC37" s="226" t="s">
        <v>537</v>
      </c>
    </row>
    <row r="38" spans="1:29" ht="21.75" customHeight="1" x14ac:dyDescent="0.15">
      <c r="A38" s="182"/>
      <c r="B38" s="182"/>
      <c r="C38" s="182"/>
      <c r="D38" s="185">
        <v>29</v>
      </c>
      <c r="E38" s="182"/>
      <c r="F38" s="154" t="s">
        <v>628</v>
      </c>
      <c r="G38" s="155" t="s">
        <v>629</v>
      </c>
      <c r="H38" s="666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B38" s="17" t="s">
        <v>629</v>
      </c>
      <c r="AC38" s="19" t="s">
        <v>539</v>
      </c>
    </row>
    <row r="39" spans="1:29" ht="15.75" customHeight="1" x14ac:dyDescent="0.15">
      <c r="A39" s="182"/>
      <c r="B39" s="182"/>
      <c r="C39" s="182"/>
      <c r="D39" s="185">
        <v>21</v>
      </c>
      <c r="E39" s="182"/>
      <c r="F39" s="154" t="s">
        <v>630</v>
      </c>
      <c r="G39" s="155" t="s">
        <v>631</v>
      </c>
      <c r="H39" s="666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B39" s="17" t="s">
        <v>631</v>
      </c>
      <c r="AC39" s="19" t="s">
        <v>306</v>
      </c>
    </row>
    <row r="40" spans="1:29" ht="15.75" customHeight="1" x14ac:dyDescent="0.15">
      <c r="A40" s="182"/>
      <c r="B40" s="182"/>
      <c r="C40" s="182"/>
      <c r="D40" s="185">
        <v>21</v>
      </c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</row>
    <row r="41" spans="1:29" ht="24" customHeight="1" x14ac:dyDescent="0.15">
      <c r="A41" s="182"/>
      <c r="B41" s="182"/>
      <c r="C41" s="182"/>
      <c r="D41" s="185">
        <v>32</v>
      </c>
      <c r="E41" s="182"/>
      <c r="F41" s="154" t="s">
        <v>632</v>
      </c>
      <c r="G41" s="154" t="s">
        <v>633</v>
      </c>
      <c r="H41" s="154" t="s">
        <v>609</v>
      </c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B41" s="17" t="s">
        <v>634</v>
      </c>
      <c r="AC41" s="227" t="s">
        <v>8</v>
      </c>
    </row>
    <row r="42" spans="1:29" ht="6" customHeight="1" x14ac:dyDescent="0.15">
      <c r="A42" s="182"/>
      <c r="B42" s="182"/>
      <c r="C42" s="182"/>
      <c r="D42" s="185">
        <v>8</v>
      </c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B42" s="17"/>
      <c r="AC42" s="221"/>
    </row>
    <row r="43" spans="1:29" ht="24" customHeight="1" x14ac:dyDescent="0.15">
      <c r="A43" s="182"/>
      <c r="B43" s="182"/>
      <c r="C43" s="182"/>
      <c r="D43" s="185">
        <v>32</v>
      </c>
      <c r="E43" s="182"/>
      <c r="F43" s="154" t="s">
        <v>635</v>
      </c>
      <c r="G43" s="154" t="s">
        <v>636</v>
      </c>
      <c r="H43" s="154" t="s">
        <v>614</v>
      </c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B43" s="17" t="s">
        <v>636</v>
      </c>
      <c r="AC43" s="228">
        <v>2025</v>
      </c>
    </row>
    <row r="44" spans="1:29" ht="15" hidden="1" customHeight="1" x14ac:dyDescent="0.15">
      <c r="A44" s="182"/>
      <c r="B44" s="182"/>
      <c r="C44" s="182"/>
      <c r="D44" s="185">
        <v>0</v>
      </c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B44" s="214"/>
    </row>
    <row r="45" spans="1:29" ht="15.75" customHeight="1" x14ac:dyDescent="0.15">
      <c r="A45" s="182"/>
      <c r="B45" s="182"/>
      <c r="C45" s="182"/>
      <c r="D45" s="185">
        <v>21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C45" s="229" t="s">
        <v>637</v>
      </c>
    </row>
    <row r="46" spans="1:29" ht="21.75" customHeight="1" x14ac:dyDescent="0.15">
      <c r="A46" s="182"/>
      <c r="B46" s="182"/>
      <c r="C46" s="182"/>
      <c r="D46" s="185">
        <v>29</v>
      </c>
      <c r="E46" s="182"/>
      <c r="F46" s="154" t="s">
        <v>638</v>
      </c>
      <c r="G46" s="154" t="s">
        <v>639</v>
      </c>
      <c r="H46" s="659" t="s">
        <v>609</v>
      </c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B46" s="17" t="s">
        <v>640</v>
      </c>
      <c r="AC46" s="227" t="s">
        <v>641</v>
      </c>
    </row>
    <row r="47" spans="1:29" ht="21.75" customHeight="1" x14ac:dyDescent="0.15">
      <c r="A47" s="182"/>
      <c r="B47" s="182"/>
      <c r="C47" s="182"/>
      <c r="D47" s="185">
        <v>29</v>
      </c>
      <c r="E47" s="182"/>
      <c r="F47" s="154" t="s">
        <v>642</v>
      </c>
      <c r="G47" s="154" t="s">
        <v>643</v>
      </c>
      <c r="H47" s="661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B47" s="17" t="s">
        <v>644</v>
      </c>
      <c r="AC47" s="227" t="s">
        <v>641</v>
      </c>
    </row>
    <row r="48" spans="1:29" ht="6" customHeight="1" x14ac:dyDescent="0.15">
      <c r="A48" s="182"/>
      <c r="B48" s="182"/>
      <c r="C48" s="182"/>
      <c r="D48" s="185">
        <v>8</v>
      </c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B48" s="214"/>
      <c r="AC48" s="221"/>
    </row>
    <row r="49" spans="1:30" ht="21.75" customHeight="1" x14ac:dyDescent="0.15">
      <c r="A49" s="182"/>
      <c r="B49" s="182"/>
      <c r="C49" s="182"/>
      <c r="D49" s="185">
        <v>29</v>
      </c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B49" s="214"/>
      <c r="AC49" s="230" t="s">
        <v>645</v>
      </c>
    </row>
    <row r="50" spans="1:30" ht="21.75" customHeight="1" x14ac:dyDescent="0.15">
      <c r="A50" s="182"/>
      <c r="B50" s="182"/>
      <c r="C50" s="182"/>
      <c r="D50" s="185">
        <v>29</v>
      </c>
      <c r="E50" s="182"/>
      <c r="F50" s="154" t="s">
        <v>646</v>
      </c>
      <c r="G50" s="154" t="s">
        <v>647</v>
      </c>
      <c r="H50" s="659" t="s">
        <v>609</v>
      </c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B50" s="17" t="s">
        <v>648</v>
      </c>
      <c r="AC50" s="227" t="s">
        <v>649</v>
      </c>
    </row>
    <row r="51" spans="1:30" ht="21.75" customHeight="1" x14ac:dyDescent="0.15">
      <c r="A51" s="182"/>
      <c r="B51" s="182"/>
      <c r="C51" s="182"/>
      <c r="D51" s="185">
        <v>29</v>
      </c>
      <c r="E51" s="182"/>
      <c r="F51" s="154" t="s">
        <v>650</v>
      </c>
      <c r="G51" s="154" t="s">
        <v>651</v>
      </c>
      <c r="H51" s="660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B51" s="17" t="s">
        <v>652</v>
      </c>
      <c r="AC51" s="22" t="s">
        <v>653</v>
      </c>
    </row>
    <row r="52" spans="1:30" ht="21.75" customHeight="1" x14ac:dyDescent="0.15">
      <c r="A52" s="182"/>
      <c r="B52" s="182"/>
      <c r="C52" s="182"/>
      <c r="D52" s="185">
        <v>29</v>
      </c>
      <c r="E52" s="182"/>
      <c r="F52" s="154" t="s">
        <v>654</v>
      </c>
      <c r="G52" s="154" t="s">
        <v>655</v>
      </c>
      <c r="H52" s="661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B52" s="17" t="s">
        <v>656</v>
      </c>
      <c r="AC52" s="22" t="s">
        <v>657</v>
      </c>
    </row>
    <row r="53" spans="1:30" ht="6" customHeight="1" x14ac:dyDescent="0.15">
      <c r="A53" s="182"/>
      <c r="B53" s="182"/>
      <c r="C53" s="182"/>
      <c r="D53" s="185">
        <v>8</v>
      </c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B53" s="214"/>
      <c r="AC53" s="221"/>
    </row>
    <row r="54" spans="1:30" ht="21.75" customHeight="1" x14ac:dyDescent="0.15">
      <c r="A54" s="182"/>
      <c r="B54" s="182"/>
      <c r="C54" s="182"/>
      <c r="D54" s="185">
        <v>29</v>
      </c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C54" s="20" t="s">
        <v>658</v>
      </c>
    </row>
    <row r="55" spans="1:30" ht="21.75" customHeight="1" x14ac:dyDescent="0.15">
      <c r="A55" s="182"/>
      <c r="B55" s="182"/>
      <c r="C55" s="182"/>
      <c r="D55" s="185">
        <v>29</v>
      </c>
      <c r="E55" s="182"/>
      <c r="F55" s="154" t="s">
        <v>659</v>
      </c>
      <c r="G55" s="154" t="s">
        <v>660</v>
      </c>
      <c r="H55" s="659" t="s">
        <v>609</v>
      </c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B55" s="17" t="s">
        <v>648</v>
      </c>
      <c r="AC55" s="227" t="s">
        <v>661</v>
      </c>
    </row>
    <row r="56" spans="1:30" ht="21.75" customHeight="1" x14ac:dyDescent="0.15">
      <c r="A56" s="182"/>
      <c r="B56" s="182"/>
      <c r="C56" s="182"/>
      <c r="D56" s="185">
        <v>29</v>
      </c>
      <c r="E56" s="182"/>
      <c r="F56" s="154" t="s">
        <v>662</v>
      </c>
      <c r="G56" s="154" t="s">
        <v>663</v>
      </c>
      <c r="H56" s="661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B56" s="17" t="s">
        <v>656</v>
      </c>
      <c r="AC56" s="22" t="s">
        <v>664</v>
      </c>
    </row>
    <row r="57" spans="1:30" ht="6" customHeight="1" x14ac:dyDescent="0.15">
      <c r="A57" s="182"/>
      <c r="B57" s="182"/>
      <c r="C57" s="182"/>
      <c r="D57" s="185">
        <v>8</v>
      </c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B57" s="214"/>
      <c r="AC57" s="221"/>
    </row>
    <row r="58" spans="1:30" ht="31.5" customHeight="1" x14ac:dyDescent="0.15">
      <c r="A58" s="182"/>
      <c r="B58" s="182"/>
      <c r="C58" s="182"/>
      <c r="D58" s="185">
        <v>42</v>
      </c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B58" s="214"/>
      <c r="AC58" s="21" t="s">
        <v>665</v>
      </c>
    </row>
    <row r="59" spans="1:30" ht="21.75" customHeight="1" x14ac:dyDescent="0.15">
      <c r="A59" s="182"/>
      <c r="B59" s="182"/>
      <c r="C59" s="182"/>
      <c r="D59" s="185">
        <v>29</v>
      </c>
      <c r="E59" s="182"/>
      <c r="F59" s="154" t="s">
        <v>666</v>
      </c>
      <c r="G59" s="155" t="s">
        <v>667</v>
      </c>
      <c r="H59" s="662" t="s">
        <v>609</v>
      </c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B59" s="17" t="s">
        <v>648</v>
      </c>
      <c r="AC59" s="227" t="s">
        <v>668</v>
      </c>
    </row>
    <row r="60" spans="1:30" ht="21.75" customHeight="1" x14ac:dyDescent="0.15">
      <c r="A60" s="182"/>
      <c r="B60" s="182"/>
      <c r="C60" s="182"/>
      <c r="D60" s="185">
        <v>29</v>
      </c>
      <c r="E60" s="182"/>
      <c r="F60" s="154" t="s">
        <v>669</v>
      </c>
      <c r="G60" s="155" t="s">
        <v>670</v>
      </c>
      <c r="H60" s="66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B60" s="17" t="s">
        <v>652</v>
      </c>
      <c r="AC60" s="227" t="s">
        <v>671</v>
      </c>
    </row>
    <row r="61" spans="1:30" ht="21.75" customHeight="1" x14ac:dyDescent="0.15">
      <c r="A61" s="182"/>
      <c r="B61" s="182"/>
      <c r="C61" s="182"/>
      <c r="D61" s="185">
        <v>29</v>
      </c>
      <c r="E61" s="182"/>
      <c r="F61" s="154" t="s">
        <v>672</v>
      </c>
      <c r="G61" s="155" t="s">
        <v>673</v>
      </c>
      <c r="H61" s="66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B61" s="17" t="s">
        <v>656</v>
      </c>
      <c r="AC61" s="227" t="s">
        <v>674</v>
      </c>
    </row>
    <row r="62" spans="1:30" ht="21.75" customHeight="1" x14ac:dyDescent="0.15">
      <c r="A62" s="182"/>
      <c r="B62" s="182"/>
      <c r="C62" s="182"/>
      <c r="D62" s="185">
        <v>29</v>
      </c>
      <c r="E62" s="182"/>
      <c r="F62" s="154" t="s">
        <v>675</v>
      </c>
      <c r="G62" s="155" t="s">
        <v>676</v>
      </c>
      <c r="H62" s="66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B62" s="17" t="s">
        <v>677</v>
      </c>
      <c r="AC62" s="22" t="s">
        <v>678</v>
      </c>
    </row>
    <row r="63" spans="1:30" ht="21.75" customHeight="1" x14ac:dyDescent="0.15">
      <c r="A63" s="182"/>
      <c r="B63" s="182"/>
      <c r="C63" s="182"/>
      <c r="D63" s="185">
        <v>29</v>
      </c>
      <c r="E63" s="182"/>
      <c r="F63" s="154" t="s">
        <v>679</v>
      </c>
      <c r="G63" s="155" t="s">
        <v>680</v>
      </c>
      <c r="H63" s="66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B63" s="17"/>
    </row>
    <row r="64" spans="1:30" ht="11.25" hidden="1" customHeight="1" x14ac:dyDescent="0.15">
      <c r="A64" s="182"/>
      <c r="B64" s="182"/>
      <c r="C64" s="182"/>
      <c r="D64" s="185">
        <v>0</v>
      </c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D64" s="23" t="s">
        <v>71</v>
      </c>
    </row>
  </sheetData>
  <sheetProtection formatColumns="0" formatRows="0" insertRows="0" deleteColumns="0" deleteRows="0" sort="0" autoFilter="0"/>
  <mergeCells count="7">
    <mergeCell ref="H50:H52"/>
    <mergeCell ref="H55:H56"/>
    <mergeCell ref="H59:H63"/>
    <mergeCell ref="AB21:AC21"/>
    <mergeCell ref="AC22:AC23"/>
    <mergeCell ref="H37:H39"/>
    <mergeCell ref="H46:H47"/>
  </mergeCells>
  <dataValidations count="1">
    <dataValidation allowBlank="1" sqref="AC38:AC39"/>
  </dataValidations>
  <printOptions horizontalCentered="1"/>
  <pageMargins left="0.24" right="0.24" top="0.24" bottom="0.24" header="0.24" footer="0.24"/>
  <pageSetup paperSize="9" scale="75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G52"/>
  <sheetViews>
    <sheetView showGridLines="0" topLeftCell="AA22" workbookViewId="0">
      <selection activeCell="AC72" sqref="AC72"/>
    </sheetView>
  </sheetViews>
  <sheetFormatPr defaultColWidth="9.140625" defaultRowHeight="11.25" customHeight="1" x14ac:dyDescent="0.15"/>
  <cols>
    <col min="1" max="1" width="6.85546875" style="166" hidden="1" customWidth="1"/>
    <col min="2" max="2" width="5.42578125" style="166" hidden="1" customWidth="1"/>
    <col min="3" max="3" width="9.140625" style="166" hidden="1"/>
    <col min="4" max="4" width="3.28515625" style="166" hidden="1" customWidth="1"/>
    <col min="5" max="26" width="8" style="166" hidden="1" customWidth="1"/>
    <col min="27" max="27" width="3.7109375" style="166" customWidth="1"/>
    <col min="28" max="28" width="7.5703125" style="166" customWidth="1"/>
    <col min="29" max="29" width="76" style="166" customWidth="1"/>
    <col min="30" max="30" width="35.7109375" style="166" customWidth="1"/>
    <col min="31" max="31" width="36.7109375" style="166" customWidth="1"/>
    <col min="32" max="33" width="9.140625" hidden="1"/>
  </cols>
  <sheetData>
    <row r="1" spans="4:33" ht="12.75" hidden="1" customHeight="1" x14ac:dyDescent="0.15">
      <c r="AA1" s="231" t="s">
        <v>681</v>
      </c>
      <c r="AB1" s="59" t="s">
        <v>682</v>
      </c>
      <c r="AC1" s="59" t="s">
        <v>683</v>
      </c>
      <c r="AD1" s="59" t="s">
        <v>684</v>
      </c>
      <c r="AF1" s="129" t="s">
        <v>685</v>
      </c>
    </row>
    <row r="2" spans="4:33" ht="12.75" hidden="1" customHeight="1" x14ac:dyDescent="0.15"/>
    <row r="3" spans="4:33" ht="11.25" hidden="1" customHeight="1" x14ac:dyDescent="0.15"/>
    <row r="4" spans="4:33" ht="12.75" hidden="1" customHeight="1" x14ac:dyDescent="0.15">
      <c r="E4" s="232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53</v>
      </c>
      <c r="AC4" s="130">
        <v>532</v>
      </c>
      <c r="AD4" s="130">
        <v>250</v>
      </c>
      <c r="AE4" s="130">
        <v>257</v>
      </c>
      <c r="AF4" s="130">
        <v>0</v>
      </c>
      <c r="AG4" s="130">
        <v>0</v>
      </c>
    </row>
    <row r="5" spans="4:33" ht="26.25" hidden="1" customHeight="1" x14ac:dyDescent="0.15">
      <c r="D5" s="130">
        <v>35</v>
      </c>
      <c r="E5" s="233" t="s">
        <v>686</v>
      </c>
      <c r="AC5" s="129" t="str">
        <f>"""fieldUniq"":"""&amp;AC24&amp;""""</f>
        <v>"fieldUniq":"Наименование"</v>
      </c>
    </row>
    <row r="6" spans="4:33" ht="26.25" hidden="1" customHeight="1" x14ac:dyDescent="0.15">
      <c r="D6" s="130">
        <v>35</v>
      </c>
    </row>
    <row r="7" spans="4:33" ht="26.25" hidden="1" customHeight="1" x14ac:dyDescent="0.15">
      <c r="D7" s="130">
        <v>35</v>
      </c>
    </row>
    <row r="8" spans="4:33" ht="26.25" hidden="1" customHeight="1" x14ac:dyDescent="0.15">
      <c r="D8" s="130">
        <v>35</v>
      </c>
    </row>
    <row r="9" spans="4:33" ht="26.25" hidden="1" customHeight="1" x14ac:dyDescent="0.15">
      <c r="D9" s="130">
        <v>35</v>
      </c>
    </row>
    <row r="10" spans="4:33" ht="26.25" hidden="1" customHeight="1" x14ac:dyDescent="0.15">
      <c r="D10" s="130">
        <v>35</v>
      </c>
    </row>
    <row r="11" spans="4:33" ht="26.25" hidden="1" customHeight="1" x14ac:dyDescent="0.15">
      <c r="D11" s="130">
        <v>35</v>
      </c>
    </row>
    <row r="12" spans="4:33" ht="26.25" hidden="1" customHeight="1" x14ac:dyDescent="0.15">
      <c r="D12" s="130">
        <v>35</v>
      </c>
    </row>
    <row r="13" spans="4:33" ht="26.25" hidden="1" customHeight="1" x14ac:dyDescent="0.15">
      <c r="D13" s="130">
        <v>35</v>
      </c>
    </row>
    <row r="14" spans="4:33" ht="26.25" hidden="1" customHeight="1" x14ac:dyDescent="0.15">
      <c r="D14" s="130">
        <v>35</v>
      </c>
    </row>
    <row r="15" spans="4:33" ht="26.25" hidden="1" customHeight="1" x14ac:dyDescent="0.15">
      <c r="D15" s="130">
        <v>35</v>
      </c>
    </row>
    <row r="16" spans="4:33" ht="26.25" hidden="1" customHeight="1" x14ac:dyDescent="0.15">
      <c r="D16" s="130">
        <v>35</v>
      </c>
    </row>
    <row r="17" spans="2:31" ht="26.25" hidden="1" customHeight="1" x14ac:dyDescent="0.15">
      <c r="D17" s="130">
        <v>35</v>
      </c>
    </row>
    <row r="18" spans="2:31" ht="26.25" hidden="1" customHeight="1" x14ac:dyDescent="0.15">
      <c r="D18" s="130">
        <v>35</v>
      </c>
    </row>
    <row r="19" spans="2:31" ht="26.25" hidden="1" customHeight="1" x14ac:dyDescent="0.15">
      <c r="D19" s="130">
        <v>35</v>
      </c>
    </row>
    <row r="20" spans="2:31" ht="15" customHeight="1" x14ac:dyDescent="0.15">
      <c r="D20" s="130">
        <v>20</v>
      </c>
    </row>
    <row r="21" spans="2:31" ht="36.75" customHeight="1" x14ac:dyDescent="0.15">
      <c r="D21" s="130">
        <v>49</v>
      </c>
      <c r="AB21" s="669" t="str">
        <f>ORG</f>
        <v>ООО "Энергонефть Томск"</v>
      </c>
      <c r="AC21" s="670"/>
      <c r="AD21" s="670"/>
    </row>
    <row r="22" spans="2:31" ht="27" customHeight="1" x14ac:dyDescent="0.15">
      <c r="D22" s="130">
        <v>36</v>
      </c>
      <c r="AB22" s="668" t="s">
        <v>50</v>
      </c>
      <c r="AC22" s="668"/>
      <c r="AD22" s="668"/>
      <c r="AE22" s="668"/>
    </row>
    <row r="23" spans="2:31" ht="6" customHeight="1" x14ac:dyDescent="0.15">
      <c r="D23" s="130">
        <v>8</v>
      </c>
      <c r="AC23" s="667"/>
      <c r="AD23" s="667"/>
    </row>
    <row r="24" spans="2:31" ht="25.5" customHeight="1" x14ac:dyDescent="0.15">
      <c r="D24" s="130">
        <v>34</v>
      </c>
      <c r="AB24" s="234" t="s">
        <v>687</v>
      </c>
      <c r="AC24" s="235" t="s">
        <v>688</v>
      </c>
      <c r="AD24" s="24" t="s">
        <v>689</v>
      </c>
      <c r="AE24" s="24" t="s">
        <v>690</v>
      </c>
    </row>
    <row r="25" spans="2:31" ht="6" customHeight="1" x14ac:dyDescent="0.15">
      <c r="D25" s="130">
        <v>8</v>
      </c>
      <c r="AB25" s="236">
        <v>0</v>
      </c>
      <c r="AC25" s="237"/>
      <c r="AD25" s="238"/>
      <c r="AE25" s="239"/>
    </row>
    <row r="26" spans="2:31" ht="15.75" hidden="1" customHeight="1" x14ac:dyDescent="0.15">
      <c r="B26" s="59" t="b">
        <f t="shared" ref="B26:B34" si="0">REGION_NAME="Красноярский край"</f>
        <v>0</v>
      </c>
      <c r="D26" s="130">
        <v>21</v>
      </c>
      <c r="AA26" s="240"/>
      <c r="AB26" s="241" t="s">
        <v>112</v>
      </c>
      <c r="AC26" s="242" t="s">
        <v>691</v>
      </c>
      <c r="AD26" s="225"/>
      <c r="AE26" s="243"/>
    </row>
    <row r="27" spans="2:31" ht="27.75" hidden="1" customHeight="1" x14ac:dyDescent="0.15">
      <c r="B27" s="59" t="b">
        <f t="shared" si="0"/>
        <v>0</v>
      </c>
      <c r="D27" s="130">
        <v>37</v>
      </c>
      <c r="AA27" s="240"/>
      <c r="AB27" s="26" t="s">
        <v>692</v>
      </c>
      <c r="AC27" s="27" t="s">
        <v>693</v>
      </c>
      <c r="AD27" s="225"/>
      <c r="AE27" s="243"/>
    </row>
    <row r="28" spans="2:31" ht="27.75" hidden="1" customHeight="1" x14ac:dyDescent="0.15">
      <c r="B28" s="59" t="b">
        <f t="shared" si="0"/>
        <v>0</v>
      </c>
      <c r="D28" s="130">
        <v>37</v>
      </c>
      <c r="AA28" s="240"/>
      <c r="AB28" s="26" t="s">
        <v>143</v>
      </c>
      <c r="AC28" s="27" t="s">
        <v>694</v>
      </c>
      <c r="AD28" s="225"/>
      <c r="AE28" s="243"/>
    </row>
    <row r="29" spans="2:31" ht="15.75" hidden="1" customHeight="1" x14ac:dyDescent="0.15">
      <c r="B29" s="59" t="b">
        <f t="shared" si="0"/>
        <v>0</v>
      </c>
      <c r="D29" s="130">
        <v>21</v>
      </c>
      <c r="AA29" s="240"/>
      <c r="AB29" s="26" t="s">
        <v>151</v>
      </c>
      <c r="AC29" s="27" t="s">
        <v>695</v>
      </c>
      <c r="AD29" s="225"/>
      <c r="AE29" s="243"/>
    </row>
    <row r="30" spans="2:31" ht="36.75" hidden="1" customHeight="1" x14ac:dyDescent="0.15">
      <c r="B30" s="59" t="b">
        <f t="shared" si="0"/>
        <v>0</v>
      </c>
      <c r="D30" s="130">
        <v>49</v>
      </c>
      <c r="AA30" s="240"/>
      <c r="AB30" s="26" t="s">
        <v>158</v>
      </c>
      <c r="AC30" s="27" t="s">
        <v>696</v>
      </c>
      <c r="AD30" s="225"/>
      <c r="AE30" s="243"/>
    </row>
    <row r="31" spans="2:31" ht="27.75" hidden="1" customHeight="1" x14ac:dyDescent="0.15">
      <c r="B31" s="59" t="b">
        <f t="shared" si="0"/>
        <v>0</v>
      </c>
      <c r="D31" s="130">
        <v>37</v>
      </c>
      <c r="AA31" s="240"/>
      <c r="AB31" s="26">
        <v>6</v>
      </c>
      <c r="AC31" s="27" t="s">
        <v>697</v>
      </c>
      <c r="AD31" s="225"/>
      <c r="AE31" s="243"/>
    </row>
    <row r="32" spans="2:31" ht="15.75" hidden="1" customHeight="1" x14ac:dyDescent="0.15">
      <c r="B32" s="59" t="b">
        <f t="shared" si="0"/>
        <v>0</v>
      </c>
      <c r="D32" s="130">
        <v>21</v>
      </c>
      <c r="AA32" s="240"/>
      <c r="AB32" s="26">
        <f>IF(REGION_NAME="Красноярский край",7,0)</f>
        <v>0</v>
      </c>
      <c r="AC32" s="27" t="s">
        <v>698</v>
      </c>
      <c r="AD32" s="244"/>
      <c r="AE32" s="243"/>
    </row>
    <row r="33" spans="2:32" ht="93.75" hidden="1" customHeight="1" x14ac:dyDescent="0.15">
      <c r="B33" s="59" t="b">
        <f t="shared" si="0"/>
        <v>0</v>
      </c>
      <c r="D33" s="130">
        <v>162</v>
      </c>
      <c r="AA33" s="240"/>
      <c r="AB33" s="26">
        <f>IF(REGION_NAME="Красноярский край",8,0)</f>
        <v>0</v>
      </c>
      <c r="AC33" s="27" t="s">
        <v>699</v>
      </c>
      <c r="AD33" s="244"/>
      <c r="AE33" s="243"/>
    </row>
    <row r="34" spans="2:32" ht="31.5" hidden="1" customHeight="1" x14ac:dyDescent="0.15">
      <c r="B34" s="59" t="b">
        <f t="shared" si="0"/>
        <v>0</v>
      </c>
      <c r="D34" s="130">
        <v>37</v>
      </c>
      <c r="AA34" s="240"/>
      <c r="AB34" s="26">
        <f>IF(REGION_NAME="Красноярский край",9,0)</f>
        <v>0</v>
      </c>
      <c r="AC34" s="27" t="s">
        <v>700</v>
      </c>
      <c r="AD34" s="244"/>
      <c r="AE34" s="243"/>
    </row>
    <row r="35" spans="2:32" ht="15.75" hidden="1" customHeight="1" x14ac:dyDescent="0.15">
      <c r="B35" s="59" t="b">
        <f>AB35&lt;&gt;$AB$35</f>
        <v>0</v>
      </c>
      <c r="D35" s="130">
        <v>21</v>
      </c>
      <c r="AA35" s="245" t="s">
        <v>701</v>
      </c>
      <c r="AB35" s="26">
        <f>AB32</f>
        <v>0</v>
      </c>
      <c r="AC35" s="1"/>
      <c r="AD35" s="2"/>
      <c r="AE35" s="3"/>
      <c r="AF35" t="s">
        <v>702</v>
      </c>
    </row>
    <row r="36" spans="2:32" s="246" customFormat="1" ht="15.75" customHeight="1" x14ac:dyDescent="0.15">
      <c r="B36" s="59"/>
      <c r="D36" s="130">
        <v>21</v>
      </c>
      <c r="AA36" s="28" t="s">
        <v>701</v>
      </c>
      <c r="AB36" s="26" t="s">
        <v>112</v>
      </c>
      <c r="AC36" s="247"/>
      <c r="AD36" s="248"/>
      <c r="AE36" s="249"/>
      <c r="AF36"/>
    </row>
    <row r="37" spans="2:32" s="250" customFormat="1" ht="15.75" customHeight="1" x14ac:dyDescent="0.15">
      <c r="B37" s="59"/>
      <c r="D37" s="130">
        <v>21</v>
      </c>
      <c r="AA37" s="28" t="s">
        <v>701</v>
      </c>
      <c r="AB37" s="26" t="s">
        <v>692</v>
      </c>
      <c r="AC37" s="247"/>
      <c r="AD37" s="248"/>
      <c r="AE37" s="249"/>
      <c r="AF37"/>
    </row>
    <row r="38" spans="2:32" s="251" customFormat="1" ht="15.75" customHeight="1" x14ac:dyDescent="0.15">
      <c r="B38" s="59"/>
      <c r="D38" s="130">
        <v>21</v>
      </c>
      <c r="AA38" s="28" t="s">
        <v>701</v>
      </c>
      <c r="AB38" s="26" t="s">
        <v>143</v>
      </c>
      <c r="AC38" s="247"/>
      <c r="AD38" s="248"/>
      <c r="AE38" s="249"/>
      <c r="AF38"/>
    </row>
    <row r="39" spans="2:32" s="252" customFormat="1" ht="15.75" customHeight="1" x14ac:dyDescent="0.15">
      <c r="B39" s="59"/>
      <c r="D39" s="130">
        <v>21</v>
      </c>
      <c r="AA39" s="28" t="s">
        <v>701</v>
      </c>
      <c r="AB39" s="26" t="s">
        <v>151</v>
      </c>
      <c r="AC39" s="247"/>
      <c r="AD39" s="248"/>
      <c r="AE39" s="249"/>
      <c r="AF39"/>
    </row>
    <row r="40" spans="2:32" s="253" customFormat="1" ht="15.75" customHeight="1" x14ac:dyDescent="0.15">
      <c r="B40" s="59"/>
      <c r="D40" s="130">
        <v>21</v>
      </c>
      <c r="AA40" s="28" t="s">
        <v>701</v>
      </c>
      <c r="AB40" s="26" t="s">
        <v>158</v>
      </c>
      <c r="AC40" s="247"/>
      <c r="AD40" s="248"/>
      <c r="AE40" s="249"/>
      <c r="AF40"/>
    </row>
    <row r="41" spans="2:32" s="254" customFormat="1" ht="15.75" customHeight="1" x14ac:dyDescent="0.15">
      <c r="B41" s="59"/>
      <c r="D41" s="130">
        <v>21</v>
      </c>
      <c r="AA41" s="28" t="s">
        <v>701</v>
      </c>
      <c r="AB41" s="26" t="s">
        <v>703</v>
      </c>
      <c r="AC41" s="247"/>
      <c r="AD41" s="248"/>
      <c r="AE41" s="249"/>
      <c r="AF41"/>
    </row>
    <row r="42" spans="2:32" s="255" customFormat="1" ht="15.75" customHeight="1" x14ac:dyDescent="0.15">
      <c r="B42" s="59"/>
      <c r="D42" s="130">
        <v>21</v>
      </c>
      <c r="AA42" s="28" t="s">
        <v>701</v>
      </c>
      <c r="AB42" s="26" t="s">
        <v>704</v>
      </c>
      <c r="AC42" s="247"/>
      <c r="AD42" s="248"/>
      <c r="AE42" s="249"/>
      <c r="AF42"/>
    </row>
    <row r="43" spans="2:32" s="256" customFormat="1" ht="15.75" customHeight="1" x14ac:dyDescent="0.15">
      <c r="B43" s="59"/>
      <c r="D43" s="130">
        <v>21</v>
      </c>
      <c r="AA43" s="28" t="s">
        <v>701</v>
      </c>
      <c r="AB43" s="26" t="s">
        <v>705</v>
      </c>
      <c r="AC43" s="247"/>
      <c r="AD43" s="248"/>
      <c r="AE43" s="249"/>
      <c r="AF43"/>
    </row>
    <row r="44" spans="2:32" s="257" customFormat="1" ht="15.75" customHeight="1" x14ac:dyDescent="0.15">
      <c r="B44" s="59"/>
      <c r="D44" s="130">
        <v>21</v>
      </c>
      <c r="AA44" s="28" t="s">
        <v>701</v>
      </c>
      <c r="AB44" s="26" t="s">
        <v>706</v>
      </c>
      <c r="AC44" s="247"/>
      <c r="AD44" s="248"/>
      <c r="AE44" s="249"/>
      <c r="AF44"/>
    </row>
    <row r="45" spans="2:32" s="258" customFormat="1" ht="15.75" customHeight="1" x14ac:dyDescent="0.15">
      <c r="B45" s="59"/>
      <c r="D45" s="130">
        <v>21</v>
      </c>
      <c r="AA45" s="28" t="s">
        <v>701</v>
      </c>
      <c r="AB45" s="26" t="s">
        <v>707</v>
      </c>
      <c r="AC45" s="247"/>
      <c r="AD45" s="248"/>
      <c r="AE45" s="249"/>
      <c r="AF45"/>
    </row>
    <row r="46" spans="2:32" s="259" customFormat="1" ht="15.75" customHeight="1" x14ac:dyDescent="0.15">
      <c r="B46" s="59"/>
      <c r="D46" s="130">
        <v>21</v>
      </c>
      <c r="AA46" s="28" t="s">
        <v>701</v>
      </c>
      <c r="AB46" s="26" t="s">
        <v>708</v>
      </c>
      <c r="AC46" s="247"/>
      <c r="AD46" s="248"/>
      <c r="AE46" s="249"/>
      <c r="AF46"/>
    </row>
    <row r="47" spans="2:32" s="260" customFormat="1" ht="15.75" customHeight="1" x14ac:dyDescent="0.15">
      <c r="B47" s="59"/>
      <c r="D47" s="130">
        <v>21</v>
      </c>
      <c r="AA47" s="28" t="s">
        <v>701</v>
      </c>
      <c r="AB47" s="26" t="s">
        <v>709</v>
      </c>
      <c r="AC47" s="247"/>
      <c r="AD47" s="248"/>
      <c r="AE47" s="249"/>
      <c r="AF47"/>
    </row>
    <row r="48" spans="2:32" s="261" customFormat="1" ht="15.75" customHeight="1" x14ac:dyDescent="0.15">
      <c r="B48" s="59"/>
      <c r="D48" s="130">
        <v>21</v>
      </c>
      <c r="AA48" s="28" t="s">
        <v>701</v>
      </c>
      <c r="AB48" s="26" t="s">
        <v>710</v>
      </c>
      <c r="AC48" s="247"/>
      <c r="AD48" s="248"/>
      <c r="AE48" s="249"/>
      <c r="AF48"/>
    </row>
    <row r="49" spans="2:33" s="262" customFormat="1" ht="15.75" customHeight="1" x14ac:dyDescent="0.15">
      <c r="B49" s="59"/>
      <c r="D49" s="130">
        <v>21</v>
      </c>
      <c r="AA49" s="28" t="s">
        <v>701</v>
      </c>
      <c r="AB49" s="26" t="s">
        <v>711</v>
      </c>
      <c r="AC49" s="247"/>
      <c r="AD49" s="248"/>
      <c r="AE49" s="249"/>
      <c r="AF49"/>
    </row>
    <row r="50" spans="2:33" s="263" customFormat="1" ht="15.75" customHeight="1" x14ac:dyDescent="0.15">
      <c r="B50" s="59"/>
      <c r="D50" s="130">
        <v>21</v>
      </c>
      <c r="AA50" s="28" t="s">
        <v>701</v>
      </c>
      <c r="AB50" s="26" t="s">
        <v>712</v>
      </c>
      <c r="AC50" s="247"/>
      <c r="AD50" s="248"/>
      <c r="AE50" s="249"/>
      <c r="AF50"/>
    </row>
    <row r="51" spans="2:33" ht="15.75" customHeight="1" x14ac:dyDescent="0.15">
      <c r="D51" s="130">
        <v>21</v>
      </c>
      <c r="AB51" s="264"/>
      <c r="AC51" s="265" t="s">
        <v>713</v>
      </c>
      <c r="AD51" s="30"/>
      <c r="AE51" s="266"/>
    </row>
    <row r="52" spans="2:33" ht="11.25" hidden="1" customHeight="1" x14ac:dyDescent="0.15">
      <c r="D52" s="130">
        <v>0</v>
      </c>
      <c r="AG52" t="s">
        <v>71</v>
      </c>
    </row>
  </sheetData>
  <sheetProtection formatColumns="0" formatRows="0" insertRows="0" deleteColumns="0" deleteRows="0" sort="0" autoFilter="0"/>
  <mergeCells count="3">
    <mergeCell ref="AC23:AD23"/>
    <mergeCell ref="AB22:AE22"/>
    <mergeCell ref="AB21:AD21"/>
  </mergeCells>
  <dataValidations count="1">
    <dataValidation type="list" allowBlank="1" showInputMessage="1" showErrorMessage="1" errorTitle="Ошибка" error="Выберите значение из списка" promptTitle="Внимание" prompt="Выберите значение из списка" sqref="AD26:AD50">
      <formula1>doc_list</formula1>
    </dataValidation>
  </dataValidations>
  <pageMargins left="0.25" right="0.25" top="0.75" bottom="0.75" header="0.3" footer="0.3"/>
  <pageSetup paperSize="9" scale="32" fitToHeight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K55"/>
  <sheetViews>
    <sheetView showGridLines="0" topLeftCell="AA20" workbookViewId="0">
      <selection activeCell="AA20" sqref="AA20"/>
    </sheetView>
  </sheetViews>
  <sheetFormatPr defaultColWidth="9.140625" defaultRowHeight="11.25" customHeight="1" x14ac:dyDescent="0.15"/>
  <cols>
    <col min="1" max="2" width="6.85546875" style="166" hidden="1" customWidth="1"/>
    <col min="3" max="3" width="9.140625" style="166" hidden="1"/>
    <col min="4" max="4" width="2.42578125" style="166" hidden="1" customWidth="1"/>
    <col min="5" max="26" width="8" style="166" hidden="1" customWidth="1"/>
    <col min="27" max="27" width="3.7109375" style="166" customWidth="1"/>
    <col min="28" max="28" width="6" style="166" customWidth="1"/>
    <col min="29" max="29" width="107" style="166" customWidth="1"/>
    <col min="30" max="30" width="0.5703125" style="166" customWidth="1"/>
    <col min="31" max="35" width="11" style="166" customWidth="1"/>
    <col min="36" max="36" width="1.42578125" style="166" hidden="1" customWidth="1"/>
    <col min="37" max="37" width="9.140625" hidden="1"/>
  </cols>
  <sheetData>
    <row r="1" spans="4:37" ht="22.5" hidden="1" customHeight="1" x14ac:dyDescent="0.15"/>
    <row r="2" spans="4:37" ht="12.75" hidden="1" customHeight="1" x14ac:dyDescent="0.15"/>
    <row r="3" spans="4:37" ht="11.25" hidden="1" customHeight="1" x14ac:dyDescent="0.15"/>
    <row r="4" spans="4:37" ht="12.75" hidden="1" customHeight="1" x14ac:dyDescent="0.15">
      <c r="E4" s="130">
        <v>61</v>
      </c>
      <c r="F4" s="130">
        <v>61</v>
      </c>
      <c r="G4" s="130">
        <v>61</v>
      </c>
      <c r="H4" s="130">
        <v>61</v>
      </c>
      <c r="I4" s="130">
        <v>61</v>
      </c>
      <c r="J4" s="130">
        <v>61</v>
      </c>
      <c r="K4" s="130">
        <v>61</v>
      </c>
      <c r="L4" s="130">
        <v>61</v>
      </c>
      <c r="M4" s="130">
        <v>61</v>
      </c>
      <c r="N4" s="130">
        <v>61</v>
      </c>
      <c r="O4" s="130">
        <v>61</v>
      </c>
      <c r="P4" s="130">
        <v>61</v>
      </c>
      <c r="Q4" s="130">
        <v>61</v>
      </c>
      <c r="R4" s="130">
        <v>61</v>
      </c>
      <c r="S4" s="130">
        <v>61</v>
      </c>
      <c r="T4" s="130">
        <v>61</v>
      </c>
      <c r="U4" s="130">
        <v>61</v>
      </c>
      <c r="V4" s="130">
        <v>61</v>
      </c>
      <c r="W4" s="130">
        <v>61</v>
      </c>
      <c r="X4" s="130">
        <v>61</v>
      </c>
      <c r="Y4" s="130">
        <v>61</v>
      </c>
      <c r="Z4" s="130">
        <v>61</v>
      </c>
      <c r="AA4" s="130">
        <v>26</v>
      </c>
      <c r="AB4" s="130">
        <v>42</v>
      </c>
      <c r="AC4" s="130">
        <v>749</v>
      </c>
      <c r="AD4" s="130">
        <v>4</v>
      </c>
      <c r="AE4" s="130">
        <v>77</v>
      </c>
      <c r="AF4" s="130">
        <v>77</v>
      </c>
      <c r="AG4" s="130">
        <v>77</v>
      </c>
      <c r="AH4" s="130">
        <v>77</v>
      </c>
      <c r="AI4" s="130">
        <v>77</v>
      </c>
      <c r="AJ4" s="130">
        <v>0</v>
      </c>
      <c r="AK4" s="131">
        <v>0</v>
      </c>
    </row>
    <row r="5" spans="4:37" ht="26.25" hidden="1" customHeight="1" x14ac:dyDescent="0.15">
      <c r="D5" s="130">
        <v>35</v>
      </c>
    </row>
    <row r="6" spans="4:37" ht="26.25" hidden="1" customHeight="1" x14ac:dyDescent="0.15">
      <c r="D6" s="130">
        <v>35</v>
      </c>
    </row>
    <row r="7" spans="4:37" ht="26.25" hidden="1" customHeight="1" x14ac:dyDescent="0.15">
      <c r="D7" s="130">
        <v>35</v>
      </c>
    </row>
    <row r="8" spans="4:37" ht="26.25" hidden="1" customHeight="1" x14ac:dyDescent="0.15">
      <c r="D8" s="130">
        <v>35</v>
      </c>
    </row>
    <row r="9" spans="4:37" ht="26.25" hidden="1" customHeight="1" x14ac:dyDescent="0.15">
      <c r="D9" s="130">
        <v>35</v>
      </c>
    </row>
    <row r="10" spans="4:37" ht="26.25" hidden="1" customHeight="1" x14ac:dyDescent="0.15">
      <c r="D10" s="130">
        <v>35</v>
      </c>
    </row>
    <row r="11" spans="4:37" ht="26.25" hidden="1" customHeight="1" x14ac:dyDescent="0.15">
      <c r="D11" s="130">
        <v>35</v>
      </c>
    </row>
    <row r="12" spans="4:37" ht="26.25" hidden="1" customHeight="1" x14ac:dyDescent="0.15">
      <c r="D12" s="130">
        <v>35</v>
      </c>
    </row>
    <row r="13" spans="4:37" ht="26.25" hidden="1" customHeight="1" x14ac:dyDescent="0.15">
      <c r="D13" s="130">
        <v>35</v>
      </c>
    </row>
    <row r="14" spans="4:37" ht="26.25" hidden="1" customHeight="1" x14ac:dyDescent="0.15">
      <c r="D14" s="130">
        <v>35</v>
      </c>
    </row>
    <row r="15" spans="4:37" ht="26.25" hidden="1" customHeight="1" x14ac:dyDescent="0.15">
      <c r="D15" s="130">
        <v>35</v>
      </c>
    </row>
    <row r="16" spans="4:37" ht="26.25" hidden="1" customHeight="1" x14ac:dyDescent="0.15">
      <c r="D16" s="130">
        <v>35</v>
      </c>
    </row>
    <row r="17" spans="4:36" ht="26.25" hidden="1" customHeight="1" x14ac:dyDescent="0.15">
      <c r="D17" s="130">
        <v>35</v>
      </c>
    </row>
    <row r="18" spans="4:36" ht="26.25" hidden="1" customHeight="1" x14ac:dyDescent="0.15">
      <c r="D18" s="130">
        <v>35</v>
      </c>
    </row>
    <row r="19" spans="4:36" ht="26.25" hidden="1" customHeight="1" x14ac:dyDescent="0.15">
      <c r="D19" s="130">
        <v>35</v>
      </c>
    </row>
    <row r="20" spans="4:36" ht="15" customHeight="1" x14ac:dyDescent="0.15">
      <c r="D20" s="130">
        <v>20</v>
      </c>
    </row>
    <row r="21" spans="4:36" ht="36.75" customHeight="1" x14ac:dyDescent="0.15">
      <c r="D21" s="130">
        <v>49</v>
      </c>
      <c r="AB21" s="678" t="str">
        <f>ORG</f>
        <v>ООО "Энергонефть Томск"</v>
      </c>
      <c r="AC21" s="679"/>
      <c r="AD21" s="679"/>
      <c r="AE21" s="18"/>
      <c r="AF21" s="18"/>
      <c r="AG21" s="18"/>
      <c r="AI21" s="21"/>
      <c r="AJ21" s="21"/>
    </row>
    <row r="22" spans="4:36" ht="21.75" customHeight="1" x14ac:dyDescent="0.15">
      <c r="D22" s="130">
        <v>29</v>
      </c>
      <c r="AB22" s="663" t="s">
        <v>714</v>
      </c>
      <c r="AC22" s="663"/>
      <c r="AD22" s="663"/>
      <c r="AE22" s="663"/>
      <c r="AF22" s="663"/>
      <c r="AG22" s="663"/>
      <c r="AH22" s="663"/>
      <c r="AI22" s="663"/>
    </row>
    <row r="23" spans="4:36" ht="4.5" customHeight="1" x14ac:dyDescent="0.15">
      <c r="D23" s="130">
        <v>6</v>
      </c>
      <c r="AB23" s="641"/>
      <c r="AC23" s="641"/>
      <c r="AE23" s="267"/>
      <c r="AF23" s="268"/>
      <c r="AG23" s="268"/>
      <c r="AH23" s="269"/>
      <c r="AI23" s="268"/>
    </row>
    <row r="24" spans="4:36" ht="15.75" customHeight="1" x14ac:dyDescent="0.15">
      <c r="D24" s="130">
        <v>21</v>
      </c>
      <c r="AB24" s="680" t="s">
        <v>687</v>
      </c>
      <c r="AC24" s="680" t="s">
        <v>715</v>
      </c>
      <c r="AE24" s="680" t="str">
        <f>IF(PRD="","Не определено",PRD)&amp;" год"</f>
        <v>2025 год</v>
      </c>
      <c r="AF24" s="680"/>
      <c r="AG24" s="680"/>
      <c r="AH24" s="680"/>
      <c r="AI24" s="680"/>
    </row>
    <row r="25" spans="4:36" ht="15.75" customHeight="1" x14ac:dyDescent="0.15">
      <c r="D25" s="130">
        <v>21</v>
      </c>
      <c r="AB25" s="680"/>
      <c r="AC25" s="680"/>
      <c r="AE25" s="674" t="s">
        <v>716</v>
      </c>
      <c r="AF25" s="674"/>
      <c r="AG25" s="674" t="s">
        <v>717</v>
      </c>
      <c r="AH25" s="674" t="s">
        <v>718</v>
      </c>
      <c r="AI25" s="676" t="s">
        <v>719</v>
      </c>
    </row>
    <row r="26" spans="4:36" ht="27" customHeight="1" x14ac:dyDescent="0.15">
      <c r="D26" s="130">
        <v>36</v>
      </c>
      <c r="AB26" s="681"/>
      <c r="AC26" s="681"/>
      <c r="AE26" s="32" t="s">
        <v>720</v>
      </c>
      <c r="AF26" s="32" t="s">
        <v>721</v>
      </c>
      <c r="AG26" s="675"/>
      <c r="AH26" s="675"/>
      <c r="AI26" s="677"/>
    </row>
    <row r="27" spans="4:36" ht="2.25" customHeight="1" x14ac:dyDescent="0.15">
      <c r="D27" s="130">
        <v>3</v>
      </c>
      <c r="AB27" s="270"/>
      <c r="AC27" s="270"/>
      <c r="AE27" s="271"/>
      <c r="AF27" s="271"/>
      <c r="AG27" s="271"/>
      <c r="AH27" s="270"/>
      <c r="AI27" s="272"/>
    </row>
    <row r="28" spans="4:36" ht="27" customHeight="1" x14ac:dyDescent="0.15">
      <c r="D28" s="130">
        <v>36</v>
      </c>
      <c r="AB28" s="273" t="s">
        <v>112</v>
      </c>
      <c r="AC28" s="274" t="s">
        <v>722</v>
      </c>
      <c r="AE28" s="275"/>
      <c r="AF28" s="275"/>
      <c r="AG28" s="275"/>
      <c r="AH28" s="36"/>
      <c r="AI28" s="276">
        <f>(AI30+AI31)/2</f>
        <v>2</v>
      </c>
    </row>
    <row r="29" spans="4:36" ht="15.75" customHeight="1" x14ac:dyDescent="0.15">
      <c r="D29" s="130">
        <v>21</v>
      </c>
      <c r="AB29" s="34"/>
      <c r="AC29" s="35" t="s">
        <v>723</v>
      </c>
      <c r="AE29" s="277"/>
      <c r="AF29" s="277"/>
      <c r="AG29" s="277"/>
      <c r="AH29" s="31"/>
      <c r="AI29" s="278"/>
    </row>
    <row r="30" spans="4:36" ht="27" customHeight="1" x14ac:dyDescent="0.15">
      <c r="D30" s="130">
        <v>36</v>
      </c>
      <c r="AB30" s="31" t="s">
        <v>724</v>
      </c>
      <c r="AC30" s="279" t="s">
        <v>725</v>
      </c>
      <c r="AE30" s="41"/>
      <c r="AF30" s="41"/>
      <c r="AG30" s="280">
        <f>IF(AF30&gt;0,AE30/AF30*100,IF(AE30=0,100,120))</f>
        <v>100</v>
      </c>
      <c r="AH30" s="31" t="s">
        <v>726</v>
      </c>
      <c r="AI30" s="42">
        <f>IF(AG30&lt;80,3,IF(AG30&lt;=120,2,1))</f>
        <v>2</v>
      </c>
    </row>
    <row r="31" spans="4:36" ht="27" customHeight="1" x14ac:dyDescent="0.15">
      <c r="D31" s="130">
        <v>36</v>
      </c>
      <c r="AB31" s="31" t="s">
        <v>727</v>
      </c>
      <c r="AC31" s="40" t="s">
        <v>728</v>
      </c>
      <c r="AE31" s="43"/>
      <c r="AF31" s="43"/>
      <c r="AG31" s="42">
        <f>IF(AF31&gt;0,AE31/AF31*100,IF(AE31=0,100,120))</f>
        <v>100</v>
      </c>
      <c r="AH31" s="31" t="s">
        <v>726</v>
      </c>
      <c r="AI31" s="42">
        <f>IF(AG31&lt;80,3,IF(AG31&lt;=120,2,1))</f>
        <v>2</v>
      </c>
    </row>
    <row r="32" spans="4:36" ht="15.75" customHeight="1" x14ac:dyDescent="0.15">
      <c r="D32" s="130">
        <v>21</v>
      </c>
      <c r="AB32" s="31"/>
      <c r="AC32" s="40" t="s">
        <v>729</v>
      </c>
      <c r="AE32" s="281"/>
      <c r="AF32" s="282"/>
      <c r="AG32" s="278"/>
      <c r="AH32" s="31"/>
      <c r="AI32" s="278"/>
    </row>
    <row r="33" spans="4:35" ht="15.75" customHeight="1" x14ac:dyDescent="0.15">
      <c r="D33" s="130">
        <v>21</v>
      </c>
      <c r="AB33" s="31" t="s">
        <v>730</v>
      </c>
      <c r="AC33" s="40" t="s">
        <v>731</v>
      </c>
      <c r="AE33" s="43"/>
      <c r="AF33" s="43"/>
      <c r="AG33" s="42">
        <f>IF(AF33&gt;0,AE33/AF33*100,IF(AE33=0,100,120))</f>
        <v>100</v>
      </c>
      <c r="AH33" s="31"/>
      <c r="AI33" s="278"/>
    </row>
    <row r="34" spans="4:35" ht="37.5" customHeight="1" x14ac:dyDescent="0.15">
      <c r="D34" s="130">
        <v>50</v>
      </c>
      <c r="AB34" s="31" t="s">
        <v>732</v>
      </c>
      <c r="AC34" s="40" t="s">
        <v>733</v>
      </c>
      <c r="AE34" s="44"/>
      <c r="AF34" s="44"/>
      <c r="AG34" s="42">
        <f>IF(AF34&gt;0,AE34/AF34*100,IF(AE34=0,100,120))</f>
        <v>100</v>
      </c>
      <c r="AH34" s="31"/>
      <c r="AI34" s="278"/>
    </row>
    <row r="35" spans="4:35" ht="15.75" customHeight="1" x14ac:dyDescent="0.15">
      <c r="D35" s="130">
        <v>21</v>
      </c>
      <c r="AB35" s="31" t="s">
        <v>734</v>
      </c>
      <c r="AC35" s="40" t="s">
        <v>735</v>
      </c>
      <c r="AE35" s="43"/>
      <c r="AF35" s="43"/>
      <c r="AG35" s="42">
        <f>IF(AF35&gt;0,AE35/AF35*100,IF(AE35=0,100,120))</f>
        <v>100</v>
      </c>
      <c r="AH35" s="31"/>
      <c r="AI35" s="278"/>
    </row>
    <row r="36" spans="4:35" ht="27" customHeight="1" x14ac:dyDescent="0.15">
      <c r="D36" s="130">
        <v>36</v>
      </c>
      <c r="AB36" s="31" t="s">
        <v>736</v>
      </c>
      <c r="AC36" s="40" t="s">
        <v>737</v>
      </c>
      <c r="AE36" s="43"/>
      <c r="AF36" s="43"/>
      <c r="AG36" s="42">
        <f>IF(AF36&gt;0,AE36/AF36*100,IF(AE36=0,100,120))</f>
        <v>100</v>
      </c>
      <c r="AH36" s="31"/>
      <c r="AI36" s="278"/>
    </row>
    <row r="37" spans="4:35" ht="27" customHeight="1" x14ac:dyDescent="0.15">
      <c r="D37" s="130">
        <v>36</v>
      </c>
      <c r="AB37" s="34" t="s">
        <v>692</v>
      </c>
      <c r="AC37" s="35" t="s">
        <v>738</v>
      </c>
      <c r="AE37" s="281"/>
      <c r="AF37" s="282"/>
      <c r="AG37" s="278"/>
      <c r="AH37" s="31"/>
      <c r="AI37" s="37">
        <f>(AI39+AI40+AI41)/3</f>
        <v>2</v>
      </c>
    </row>
    <row r="38" spans="4:35" ht="15.75" customHeight="1" x14ac:dyDescent="0.15">
      <c r="D38" s="130">
        <v>21</v>
      </c>
      <c r="AB38" s="34"/>
      <c r="AC38" s="35" t="s">
        <v>723</v>
      </c>
      <c r="AE38" s="281"/>
      <c r="AF38" s="282"/>
      <c r="AG38" s="278"/>
      <c r="AH38" s="31"/>
      <c r="AI38" s="278"/>
    </row>
    <row r="39" spans="4:35" ht="15.75" customHeight="1" x14ac:dyDescent="0.15">
      <c r="D39" s="130">
        <v>21</v>
      </c>
      <c r="AB39" s="31" t="s">
        <v>739</v>
      </c>
      <c r="AC39" s="40" t="s">
        <v>740</v>
      </c>
      <c r="AE39" s="44"/>
      <c r="AF39" s="44"/>
      <c r="AG39" s="42">
        <f>IF(AF39&gt;0,AE39/AF39*100,IF(AE39=0,100,120))</f>
        <v>100</v>
      </c>
      <c r="AH39" s="31" t="s">
        <v>726</v>
      </c>
      <c r="AI39" s="42">
        <f>IF(AG39&lt;80,3,IF(AG39&lt;=120,2,1))</f>
        <v>2</v>
      </c>
    </row>
    <row r="40" spans="4:35" ht="27" customHeight="1" x14ac:dyDescent="0.15">
      <c r="D40" s="130">
        <v>36</v>
      </c>
      <c r="AB40" s="31" t="s">
        <v>741</v>
      </c>
      <c r="AC40" s="40" t="s">
        <v>742</v>
      </c>
      <c r="AE40" s="44"/>
      <c r="AF40" s="44"/>
      <c r="AG40" s="42">
        <f>IF(AF40&gt;0,AE40/AF40*100,IF(AE40=0,100,120))</f>
        <v>100</v>
      </c>
      <c r="AH40" s="31" t="s">
        <v>726</v>
      </c>
      <c r="AI40" s="42">
        <f>IF(AG40&lt;80,3,IF(AG40&lt;=120,2,1))</f>
        <v>2</v>
      </c>
    </row>
    <row r="41" spans="4:35" ht="27" customHeight="1" x14ac:dyDescent="0.15">
      <c r="D41" s="130">
        <v>36</v>
      </c>
      <c r="AB41" s="31" t="s">
        <v>743</v>
      </c>
      <c r="AC41" s="40" t="s">
        <v>744</v>
      </c>
      <c r="AE41" s="44"/>
      <c r="AF41" s="44"/>
      <c r="AG41" s="42">
        <f>IF(AF41&gt;0,AE41/AF41*100,IF(AE41=0,100,120))</f>
        <v>100</v>
      </c>
      <c r="AH41" s="31" t="s">
        <v>726</v>
      </c>
      <c r="AI41" s="42">
        <f>IF(AG41&lt;80,3,IF(AG41&lt;=120,2,1))</f>
        <v>2</v>
      </c>
    </row>
    <row r="42" spans="4:35" ht="27" customHeight="1" x14ac:dyDescent="0.15">
      <c r="D42" s="130">
        <v>36</v>
      </c>
      <c r="AB42" s="34" t="s">
        <v>143</v>
      </c>
      <c r="AC42" s="35" t="s">
        <v>745</v>
      </c>
      <c r="AE42" s="44"/>
      <c r="AF42" s="44"/>
      <c r="AG42" s="42">
        <f>IF(AF42&gt;0,AE42/AF42*100,IF(AE42=0,100,120))</f>
        <v>100</v>
      </c>
      <c r="AH42" s="31" t="s">
        <v>726</v>
      </c>
      <c r="AI42" s="42">
        <f>IF(AG42&lt;80,3,IF(AG42&lt;=120,2,1))</f>
        <v>2</v>
      </c>
    </row>
    <row r="43" spans="4:35" ht="27" customHeight="1" x14ac:dyDescent="0.15">
      <c r="D43" s="130">
        <v>36</v>
      </c>
      <c r="AB43" s="34" t="s">
        <v>151</v>
      </c>
      <c r="AC43" s="35" t="s">
        <v>746</v>
      </c>
      <c r="AE43" s="44"/>
      <c r="AF43" s="44"/>
      <c r="AG43" s="42">
        <f>IF(AF43&gt;0,AE43/AF43*100,IF(AE43=0,100,120))</f>
        <v>100</v>
      </c>
      <c r="AH43" s="31" t="s">
        <v>726</v>
      </c>
      <c r="AI43" s="42">
        <f>IF(AG43&lt;80,3,IF(AG43&lt;=120,2,1))</f>
        <v>2</v>
      </c>
    </row>
    <row r="44" spans="4:35" ht="27" customHeight="1" x14ac:dyDescent="0.15">
      <c r="D44" s="130">
        <v>36</v>
      </c>
      <c r="AB44" s="34" t="s">
        <v>158</v>
      </c>
      <c r="AC44" s="35" t="s">
        <v>747</v>
      </c>
      <c r="AE44" s="283"/>
      <c r="AF44" s="283"/>
      <c r="AG44" s="42">
        <f>AG45</f>
        <v>100</v>
      </c>
      <c r="AH44" s="31" t="s">
        <v>748</v>
      </c>
      <c r="AI44" s="42">
        <f>AI45</f>
        <v>2</v>
      </c>
    </row>
    <row r="45" spans="4:35" ht="37.5" customHeight="1" x14ac:dyDescent="0.15">
      <c r="D45" s="130">
        <v>50</v>
      </c>
      <c r="AB45" s="31" t="s">
        <v>749</v>
      </c>
      <c r="AC45" s="40" t="s">
        <v>750</v>
      </c>
      <c r="AE45" s="41"/>
      <c r="AF45" s="41"/>
      <c r="AG45" s="42">
        <f>IF(AF45&gt;0,AE45/AF45*100,IF(AE45=0,100,120))</f>
        <v>100</v>
      </c>
      <c r="AH45" s="31" t="s">
        <v>748</v>
      </c>
      <c r="AI45" s="42">
        <f>IF(AG45&gt;120,3,IF(AG45&gt;=80,2,1))</f>
        <v>2</v>
      </c>
    </row>
    <row r="46" spans="4:35" ht="27" customHeight="1" x14ac:dyDescent="0.15">
      <c r="D46" s="130">
        <v>36</v>
      </c>
      <c r="AB46" s="34" t="s">
        <v>703</v>
      </c>
      <c r="AC46" s="35" t="s">
        <v>751</v>
      </c>
      <c r="AE46" s="281"/>
      <c r="AF46" s="281"/>
      <c r="AG46" s="278"/>
      <c r="AH46" s="31"/>
      <c r="AI46" s="37">
        <f>(AI48+AI49)/2</f>
        <v>2</v>
      </c>
    </row>
    <row r="47" spans="4:35" ht="15.75" customHeight="1" x14ac:dyDescent="0.15">
      <c r="D47" s="130">
        <v>21</v>
      </c>
      <c r="AB47" s="31"/>
      <c r="AC47" s="46" t="s">
        <v>723</v>
      </c>
      <c r="AE47" s="281"/>
      <c r="AF47" s="281"/>
      <c r="AG47" s="278"/>
      <c r="AH47" s="31"/>
      <c r="AI47" s="278"/>
    </row>
    <row r="48" spans="4:35" ht="27" customHeight="1" x14ac:dyDescent="0.15">
      <c r="D48" s="130">
        <v>36</v>
      </c>
      <c r="AB48" s="31" t="s">
        <v>752</v>
      </c>
      <c r="AC48" s="40" t="s">
        <v>753</v>
      </c>
      <c r="AE48" s="41"/>
      <c r="AF48" s="41"/>
      <c r="AG48" s="42">
        <f>IF(AF48&gt;0,AE48/AF48*100,IF(AE48=0,100,120))</f>
        <v>100</v>
      </c>
      <c r="AH48" s="31" t="s">
        <v>748</v>
      </c>
      <c r="AI48" s="42">
        <f>IF(AG48&gt;120,3,IF(AG48&gt;=80,2,1))</f>
        <v>2</v>
      </c>
    </row>
    <row r="49" spans="4:37" ht="37.5" customHeight="1" x14ac:dyDescent="0.15">
      <c r="D49" s="130">
        <v>50</v>
      </c>
      <c r="AB49" s="31" t="s">
        <v>754</v>
      </c>
      <c r="AC49" s="40" t="s">
        <v>755</v>
      </c>
      <c r="AE49" s="41"/>
      <c r="AF49" s="41"/>
      <c r="AG49" s="42">
        <f>IF(AF49&gt;0,AE49/AF49*100,IF(AE49=0,100,120))</f>
        <v>100</v>
      </c>
      <c r="AH49" s="31" t="s">
        <v>748</v>
      </c>
      <c r="AI49" s="42">
        <f>IF(AG49&gt;120,3,IF(AG49&gt;=80,2,1))</f>
        <v>2</v>
      </c>
    </row>
    <row r="50" spans="4:37" ht="15.75" customHeight="1" x14ac:dyDescent="0.15">
      <c r="D50" s="130">
        <v>21</v>
      </c>
      <c r="AB50" s="34" t="s">
        <v>704</v>
      </c>
      <c r="AC50" s="35" t="s">
        <v>756</v>
      </c>
      <c r="AE50" s="277"/>
      <c r="AF50" s="277"/>
      <c r="AG50" s="277"/>
      <c r="AH50" s="31"/>
      <c r="AI50" s="37">
        <f>(AI28+AI37+AI42+AI43+AI44+AI46)/6</f>
        <v>2</v>
      </c>
    </row>
    <row r="51" spans="4:37" ht="6" customHeight="1" x14ac:dyDescent="0.15">
      <c r="D51" s="130">
        <v>8</v>
      </c>
    </row>
    <row r="52" spans="4:37" ht="31.5" customHeight="1" x14ac:dyDescent="0.15">
      <c r="D52" s="130">
        <v>42</v>
      </c>
      <c r="AB52" s="284"/>
      <c r="AC52" s="18" t="str">
        <f>IF(LEN(ruk_dol)=0,"",ruk_dol)</f>
        <v>Генеральный директор</v>
      </c>
      <c r="AD52" s="671" t="str">
        <f>IF(LEN(ruk_FIO)=0,"",ruk_FIO)</f>
        <v>Шохин Александр Ефимович</v>
      </c>
      <c r="AE52" s="671"/>
      <c r="AF52" s="671"/>
      <c r="AG52" s="672"/>
      <c r="AH52" s="672"/>
      <c r="AI52" s="672"/>
    </row>
    <row r="53" spans="4:37" ht="15.75" customHeight="1" x14ac:dyDescent="0.15">
      <c r="D53" s="130">
        <v>21</v>
      </c>
      <c r="AC53" s="285" t="s">
        <v>652</v>
      </c>
      <c r="AD53" s="673" t="s">
        <v>757</v>
      </c>
      <c r="AE53" s="641"/>
      <c r="AF53" s="641"/>
      <c r="AG53" s="673" t="s">
        <v>758</v>
      </c>
      <c r="AH53" s="641"/>
      <c r="AI53" s="641"/>
    </row>
    <row r="54" spans="4:37" ht="12" customHeight="1" x14ac:dyDescent="0.15">
      <c r="D54" s="130">
        <v>16</v>
      </c>
      <c r="AB54" s="18"/>
      <c r="AH54" s="18"/>
      <c r="AI54" s="18"/>
      <c r="AJ54" s="18"/>
    </row>
    <row r="55" spans="4:37" ht="11.25" hidden="1" customHeight="1" x14ac:dyDescent="0.15">
      <c r="D55" s="130">
        <v>0</v>
      </c>
      <c r="AK55" t="s">
        <v>71</v>
      </c>
    </row>
  </sheetData>
  <sheetProtection formatColumns="0" formatRows="0" insertRows="0" deleteColumns="0" deleteRows="0" sort="0" autoFilter="0"/>
  <mergeCells count="14">
    <mergeCell ref="AB21:AD21"/>
    <mergeCell ref="AB22:AI22"/>
    <mergeCell ref="AB23:AC23"/>
    <mergeCell ref="AB24:AB26"/>
    <mergeCell ref="AC24:AC26"/>
    <mergeCell ref="AE24:AI24"/>
    <mergeCell ref="AE25:AF25"/>
    <mergeCell ref="AD52:AF52"/>
    <mergeCell ref="AG52:AI52"/>
    <mergeCell ref="AD53:AF53"/>
    <mergeCell ref="AG53:AI53"/>
    <mergeCell ref="AG25:AG26"/>
    <mergeCell ref="AH25:AH26"/>
    <mergeCell ref="AI25:AI26"/>
  </mergeCells>
  <dataValidations count="3">
    <dataValidation type="whole" allowBlank="1" showErrorMessage="1" errorTitle="Ошибка" error="Допускается ввод только неотрицательных целых чисел!" sqref="AE31:AF31 AE35:AF36 AE33:AF3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AE48:AF49 AE30:AF30 AE45 AF45">
      <formula1>0</formula1>
      <formula2>9.99999999999999E+23</formula2>
    </dataValidation>
    <dataValidation type="list" allowBlank="1" showInputMessage="1" showErrorMessage="1" sqref="AE34:AF34 AE39:AF43">
      <formula1>"0,1"</formula1>
    </dataValidation>
  </dataValidations>
  <pageMargins left="0.75" right="0.75" top="1" bottom="1" header="0.5" footer="0.5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206</vt:i4>
      </vt:variant>
    </vt:vector>
  </HeadingPairs>
  <TitlesOfParts>
    <vt:vector size="233" baseType="lpstr">
      <vt:lpstr>Информация</vt:lpstr>
      <vt:lpstr>OPTIONS</vt:lpstr>
      <vt:lpstr>Инструкция</vt:lpstr>
      <vt:lpstr>Список листов</vt:lpstr>
      <vt:lpstr>TEHSHEET</vt:lpstr>
      <vt:lpstr>REESTR_ORG</vt:lpstr>
      <vt:lpstr>Титульный</vt:lpstr>
      <vt:lpstr>Сопроводительные материалы</vt:lpstr>
      <vt:lpstr>ф.2.1 ИндИнф (Ин)</vt:lpstr>
      <vt:lpstr>ф.2.2 ИндИспол (Ис)</vt:lpstr>
      <vt:lpstr>ф.2.3 ИндРезульт (Рс)</vt:lpstr>
      <vt:lpstr>ф.1.3 Ср.продолж.</vt:lpstr>
      <vt:lpstr>ф.1.3.1 Ср.продолж.</vt:lpstr>
      <vt:lpstr>ф.8.1 Журнал учета</vt:lpstr>
      <vt:lpstr>ф.8.1.1 Ведомость_свод</vt:lpstr>
      <vt:lpstr>ф.8.3 Индикатив</vt:lpstr>
      <vt:lpstr>ф.8.3.1 Индикатив</vt:lpstr>
      <vt:lpstr>Заявки Техприс</vt:lpstr>
      <vt:lpstr>Договоры Техприс</vt:lpstr>
      <vt:lpstr>Ф.3.1Ф3.2 ПоказТехприс (Птпр)</vt:lpstr>
      <vt:lpstr>Форма 4.1 расч.</vt:lpstr>
      <vt:lpstr>Форма 4.1 расч. с 2024 г</vt:lpstr>
      <vt:lpstr>Форма 4.2 расч.</vt:lpstr>
      <vt:lpstr>Форма 4.2 расч. с 2024 г</vt:lpstr>
      <vt:lpstr>ф.1.9 Характеристика</vt:lpstr>
      <vt:lpstr>Ф9.1Ф9.2</vt:lpstr>
      <vt:lpstr>Комментарии</vt:lpstr>
      <vt:lpstr>'ф.8.1 Журнал учета'!_ФильтрБазыДанных</vt:lpstr>
      <vt:lpstr>ADD_1_wsComs</vt:lpstr>
      <vt:lpstr>ADD_1_wsDocs</vt:lpstr>
      <vt:lpstr>ADD_1_wsF81</vt:lpstr>
      <vt:lpstr>ADD_1_wsTechCon_Contracts</vt:lpstr>
      <vt:lpstr>ADD_1_wsTechCon_Reqs</vt:lpstr>
      <vt:lpstr>ADD_2_wsTechCon_Contracts</vt:lpstr>
      <vt:lpstr>ADD_2_wsTechCon_Reqs</vt:lpstr>
      <vt:lpstr>ADD_3_wsTechCon_Contracts</vt:lpstr>
      <vt:lpstr>ADD_3_wsTechCon_Reqs</vt:lpstr>
      <vt:lpstr>ADD_4_wsTechCon_Contracts</vt:lpstr>
      <vt:lpstr>ADD_4_wsTechCon_Reqs</vt:lpstr>
      <vt:lpstr>addCurr</vt:lpstr>
      <vt:lpstr>bln_binary</vt:lpstr>
      <vt:lpstr>ChangeStore</vt:lpstr>
      <vt:lpstr>CODE</vt:lpstr>
      <vt:lpstr>DAY</vt:lpstr>
      <vt:lpstr>doc_list</vt:lpstr>
      <vt:lpstr>END_LICENSE</vt:lpstr>
      <vt:lpstr>f_8_1_1_dnld_clck</vt:lpstr>
      <vt:lpstr>f_8_1_ae</vt:lpstr>
      <vt:lpstr>f_8_1_date1</vt:lpstr>
      <vt:lpstr>f_8_1_date2</vt:lpstr>
      <vt:lpstr>f_8_1_timeOFF</vt:lpstr>
      <vt:lpstr>FACT_YEAR</vt:lpstr>
      <vt:lpstr>FIL</vt:lpstr>
      <vt:lpstr>FIL_FLAG</vt:lpstr>
      <vt:lpstr>FIRST_PERIOD_IN_LT</vt:lpstr>
      <vt:lpstr>FIRST_PERIOD_INDEX</vt:lpstr>
      <vt:lpstr>flag_end_wsComs</vt:lpstr>
      <vt:lpstr>flag_end_wsDocs</vt:lpstr>
      <vt:lpstr>flag_end_wsF13_AvgDuration</vt:lpstr>
      <vt:lpstr>flag_end_wsF131_AvgDuration</vt:lpstr>
      <vt:lpstr>flag_end_wsF19_Char</vt:lpstr>
      <vt:lpstr>flag_end_wsF21_IndInf</vt:lpstr>
      <vt:lpstr>flag_end_wsF22_IndExec</vt:lpstr>
      <vt:lpstr>flag_end_wsF23_IndRes</vt:lpstr>
      <vt:lpstr>flag_end_wsF312_TechCon</vt:lpstr>
      <vt:lpstr>flag_end_wsF41_Calc</vt:lpstr>
      <vt:lpstr>flag_end_wsF41_Calc2024</vt:lpstr>
      <vt:lpstr>flag_end_wsF42_Calc</vt:lpstr>
      <vt:lpstr>flag_end_wsF42_Calc2024</vt:lpstr>
      <vt:lpstr>flag_end_wsF81</vt:lpstr>
      <vt:lpstr>flag_end_wsF811_Report</vt:lpstr>
      <vt:lpstr>flag_end_wsF83_Indicat</vt:lpstr>
      <vt:lpstr>flag_end_wsF831_Indicat</vt:lpstr>
      <vt:lpstr>flag_end_wsF912</vt:lpstr>
      <vt:lpstr>flag_end_wsList</vt:lpstr>
      <vt:lpstr>flag_end_wsTechCon_Contracts</vt:lpstr>
      <vt:lpstr>flag_end_wsTechCon_Reqs</vt:lpstr>
      <vt:lpstr>flag_end_wsTitle</vt:lpstr>
      <vt:lpstr>flag_start_wsComs</vt:lpstr>
      <vt:lpstr>flag_start_wsDocs</vt:lpstr>
      <vt:lpstr>flag_start_wsF13_AvgDuration</vt:lpstr>
      <vt:lpstr>flag_start_wsF131_AvgDuration</vt:lpstr>
      <vt:lpstr>flag_start_wsF19_Char</vt:lpstr>
      <vt:lpstr>flag_start_wsF21_IndInf</vt:lpstr>
      <vt:lpstr>flag_start_wsF22_IndExec</vt:lpstr>
      <vt:lpstr>flag_start_wsF23_IndRes</vt:lpstr>
      <vt:lpstr>flag_start_wsF312_TechCon</vt:lpstr>
      <vt:lpstr>flag_start_wsF41_Calc</vt:lpstr>
      <vt:lpstr>flag_start_wsF41_Calc2024</vt:lpstr>
      <vt:lpstr>flag_start_wsF42_Calc</vt:lpstr>
      <vt:lpstr>flag_start_wsF42_Calc2024</vt:lpstr>
      <vt:lpstr>flag_start_wsF81</vt:lpstr>
      <vt:lpstr>flag_start_wsF811_Report</vt:lpstr>
      <vt:lpstr>flag_start_wsF83_Indicat</vt:lpstr>
      <vt:lpstr>flag_start_wsF831_Indicat</vt:lpstr>
      <vt:lpstr>flag_start_wsF912</vt:lpstr>
      <vt:lpstr>flag_start_wsList</vt:lpstr>
      <vt:lpstr>flag_start_wsTechCon_Contracts</vt:lpstr>
      <vt:lpstr>flag_start_wsTechCon_Reqs</vt:lpstr>
      <vt:lpstr>flag_start_wsTitle</vt:lpstr>
      <vt:lpstr>formingLock_1</vt:lpstr>
      <vt:lpstr>formingLock_2</vt:lpstr>
      <vt:lpstr>formingLock_3</vt:lpstr>
      <vt:lpstr>formingLock_4</vt:lpstr>
      <vt:lpstr>formingLock_5</vt:lpstr>
      <vt:lpstr>formingLock_6</vt:lpstr>
      <vt:lpstr>INN</vt:lpstr>
      <vt:lpstr>INSTRUCTION</vt:lpstr>
      <vt:lpstr>KPP</vt:lpstr>
      <vt:lpstr>kvartal</vt:lpstr>
      <vt:lpstr>LINK_DOC_MASK</vt:lpstr>
      <vt:lpstr>LOAD_1_wsComs</vt:lpstr>
      <vt:lpstr>LOAD_1_wsDocs</vt:lpstr>
      <vt:lpstr>LOAD_1_wsF13_AvgDuration</vt:lpstr>
      <vt:lpstr>LOAD_1_wsF131_AvgDuration</vt:lpstr>
      <vt:lpstr>LOAD_1_wsF19_Char</vt:lpstr>
      <vt:lpstr>LOAD_1_wsF21_IndInf</vt:lpstr>
      <vt:lpstr>LOAD_1_wsF22_IndExec</vt:lpstr>
      <vt:lpstr>LOAD_1_wsF23_IndRes</vt:lpstr>
      <vt:lpstr>LOAD_1_wsF312_TechCon</vt:lpstr>
      <vt:lpstr>LOAD_1_wsF41_Calc</vt:lpstr>
      <vt:lpstr>LOAD_1_wsF41_Calc2024</vt:lpstr>
      <vt:lpstr>LOAD_1_wsF42_Calc</vt:lpstr>
      <vt:lpstr>LOAD_1_wsF42_Calc2024</vt:lpstr>
      <vt:lpstr>LOAD_1_wsF81</vt:lpstr>
      <vt:lpstr>LOAD_1_wsF811_Report</vt:lpstr>
      <vt:lpstr>LOAD_1_wsF83_Indicat</vt:lpstr>
      <vt:lpstr>LOAD_1_wsF831_Indicat</vt:lpstr>
      <vt:lpstr>LOAD_1_wsF912</vt:lpstr>
      <vt:lpstr>LOAD_1_wsTechCon_Contracts</vt:lpstr>
      <vt:lpstr>LOAD_1_wsTechCon_Reqs</vt:lpstr>
      <vt:lpstr>LOAD_1_wsTitle</vt:lpstr>
      <vt:lpstr>LOAD_2_wsF312_TechCon</vt:lpstr>
      <vt:lpstr>LOAD_2_wsF41_Calc</vt:lpstr>
      <vt:lpstr>LOAD_2_wsF41_Calc2024</vt:lpstr>
      <vt:lpstr>LOAD_2_wsF912</vt:lpstr>
      <vt:lpstr>LOAD_2_wsTechCon_Contracts</vt:lpstr>
      <vt:lpstr>LOAD_2_wsTechCon_Reqs</vt:lpstr>
      <vt:lpstr>LOAD_3_wsF312_TechCon</vt:lpstr>
      <vt:lpstr>logic</vt:lpstr>
      <vt:lpstr>mainDyns</vt:lpstr>
      <vt:lpstr>maxDateToCheck</vt:lpstr>
      <vt:lpstr>MONTH</vt:lpstr>
      <vt:lpstr>MONTH_CH</vt:lpstr>
      <vt:lpstr>ORG</vt:lpstr>
      <vt:lpstr>ORG_ID</vt:lpstr>
      <vt:lpstr>OVER_PERIOD_3</vt:lpstr>
      <vt:lpstr>OVER_PERIOD_4</vt:lpstr>
      <vt:lpstr>OVER_PERIOD_5</vt:lpstr>
      <vt:lpstr>Period</vt:lpstr>
      <vt:lpstr>PERIOD_LIST</vt:lpstr>
      <vt:lpstr>PLAN_YEAR</vt:lpstr>
      <vt:lpstr>POSSIBLE_PERIOD_LENGTH</vt:lpstr>
      <vt:lpstr>PRD</vt:lpstr>
      <vt:lpstr>PRELOAD_F41_Calc_CHECK</vt:lpstr>
      <vt:lpstr>PRELOAD_F41_Calc_ORG_ID</vt:lpstr>
      <vt:lpstr>REGION_NAME</vt:lpstr>
      <vt:lpstr>REGIONS</vt:lpstr>
      <vt:lpstr>REPORT_OWNER</vt:lpstr>
      <vt:lpstr>rngCopy</vt:lpstr>
      <vt:lpstr>ruk_dol</vt:lpstr>
      <vt:lpstr>ruk_FIO</vt:lpstr>
      <vt:lpstr>selected_region</vt:lpstr>
      <vt:lpstr>Shema_TP</vt:lpstr>
      <vt:lpstr>SphereList</vt:lpstr>
      <vt:lpstr>SphereList_ru</vt:lpstr>
      <vt:lpstr>SpheresToLoadOrg_Options</vt:lpstr>
      <vt:lpstr>tariff_num</vt:lpstr>
      <vt:lpstr>tblEnd_1_wsComs</vt:lpstr>
      <vt:lpstr>tblEnd_1_wsDocs</vt:lpstr>
      <vt:lpstr>tblEnd_1_wsF13_AvgDuration</vt:lpstr>
      <vt:lpstr>tblEnd_1_wsF19_Char</vt:lpstr>
      <vt:lpstr>tblEnd_1_wsF21_IndInf</vt:lpstr>
      <vt:lpstr>tblEnd_1_wsF22_IndExec</vt:lpstr>
      <vt:lpstr>tblEnd_1_wsF23_IndRes</vt:lpstr>
      <vt:lpstr>tblEnd_1_wsF42_Calc</vt:lpstr>
      <vt:lpstr>tblEnd_1_wsF42_Calc2024</vt:lpstr>
      <vt:lpstr>tblEnd_1_wsF81</vt:lpstr>
      <vt:lpstr>tblEnd_1_wsF811_Report</vt:lpstr>
      <vt:lpstr>tblEnd_1_wsF83_Indicat</vt:lpstr>
      <vt:lpstr>tblEnd_1_wsF831_Indicat</vt:lpstr>
      <vt:lpstr>tblEnd_1_wsF912</vt:lpstr>
      <vt:lpstr>tblEnd_2_wsF912</vt:lpstr>
      <vt:lpstr>tblHead_1_wsDocs</vt:lpstr>
      <vt:lpstr>tblHead_1_wsF13_AvgDuration</vt:lpstr>
      <vt:lpstr>tblHead_1_wsF131_AvgDuration</vt:lpstr>
      <vt:lpstr>tblHead_1_wsF19_Char</vt:lpstr>
      <vt:lpstr>tblHead_1_wsF21_IndInf</vt:lpstr>
      <vt:lpstr>tblHead_1_wsF22_IndExec</vt:lpstr>
      <vt:lpstr>tblHead_1_wsF23_IndRes</vt:lpstr>
      <vt:lpstr>tblHead_1_wsF312_TechCon</vt:lpstr>
      <vt:lpstr>tblHead_1_wsF41_Calc</vt:lpstr>
      <vt:lpstr>tblHead_1_wsF41_Calc2024</vt:lpstr>
      <vt:lpstr>tblHead_1_wsF42_Calc</vt:lpstr>
      <vt:lpstr>tblHead_1_wsF42_Calc2024</vt:lpstr>
      <vt:lpstr>tblHead_1_wsF81</vt:lpstr>
      <vt:lpstr>tblHead_1_wsF811_Report</vt:lpstr>
      <vt:lpstr>tblHead_1_wsF83_Indicat</vt:lpstr>
      <vt:lpstr>tblHead_1_wsF831_Indicat</vt:lpstr>
      <vt:lpstr>tblHead_1_wsF912</vt:lpstr>
      <vt:lpstr>tblHead_1_wsTechCon_Contracts</vt:lpstr>
      <vt:lpstr>tblHead_1_wsTechCon_Reqs</vt:lpstr>
      <vt:lpstr>tblHead_1_wsTitle</vt:lpstr>
      <vt:lpstr>tblHead_2_wsF312_TechCon</vt:lpstr>
      <vt:lpstr>tblHead_2_wsF41_Calc</vt:lpstr>
      <vt:lpstr>tblHead_2_wsF41_Calc2024</vt:lpstr>
      <vt:lpstr>tblHead_2_wsF912</vt:lpstr>
      <vt:lpstr>tblHead_2_wsTechCon_Contracts</vt:lpstr>
      <vt:lpstr>tblHead_2_wsTechCon_Reqs</vt:lpstr>
      <vt:lpstr>tblHead_3_wsF312_TechCon</vt:lpstr>
      <vt:lpstr>tblStart_1_wsComs</vt:lpstr>
      <vt:lpstr>tblStart_1_wsDocs</vt:lpstr>
      <vt:lpstr>tblStart_1_wsF13_AvgDuration</vt:lpstr>
      <vt:lpstr>tblStart_1_wsF19_Char</vt:lpstr>
      <vt:lpstr>tblStart_1_wsF21_IndInf</vt:lpstr>
      <vt:lpstr>tblStart_1_wsF22_IndExec</vt:lpstr>
      <vt:lpstr>tblStart_1_wsF23_IndRes</vt:lpstr>
      <vt:lpstr>tblStart_1_wsF42_Calc</vt:lpstr>
      <vt:lpstr>tblStart_1_wsF42_Calc2024</vt:lpstr>
      <vt:lpstr>tblStart_1_wsF81</vt:lpstr>
      <vt:lpstr>tblStart_1_wsF811_Report</vt:lpstr>
      <vt:lpstr>tblStart_1_wsF83_Indicat</vt:lpstr>
      <vt:lpstr>tblStart_1_wsF831_Indicat</vt:lpstr>
      <vt:lpstr>tblStart_1_wsF912</vt:lpstr>
      <vt:lpstr>tblStart_2_wsF912</vt:lpstr>
      <vt:lpstr>TemplateState</vt:lpstr>
      <vt:lpstr>TPL_VERSION</vt:lpstr>
      <vt:lpstr>TYPE_OBGECT</vt:lpstr>
      <vt:lpstr>TYPE_TERMINATION</vt:lpstr>
      <vt:lpstr>VERSION</vt:lpstr>
      <vt:lpstr>VID_END_EE</vt:lpstr>
      <vt:lpstr>VID_OBJECT</vt:lpstr>
      <vt:lpstr>YES_NO</vt:lpstr>
    </vt:vector>
  </TitlesOfParts>
  <Company>РОИВ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Расчет уровня надежности и качества поставляемых товаров и услуг</dc:title>
  <dc:subject>Расчет уровня надежности и качества поставляемых товаров и услуг</dc:subject>
  <dc:creator>admin</dc:creator>
  <cp:lastModifiedBy>Тельманова Любовь Сергеевна</cp:lastModifiedBy>
  <cp:lastPrinted>2011-04-04T06:36:20Z</cp:lastPrinted>
  <dcterms:created xsi:type="dcterms:W3CDTF">2004-05-21T07:18:45Z</dcterms:created>
  <dcterms:modified xsi:type="dcterms:W3CDTF">2026-03-27T05:26:20Z</dcterms:modified>
</cp:coreProperties>
</file>